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11640" tabRatio="539" firstSheet="22" activeTab="22"/>
  </bookViews>
  <sheets>
    <sheet name="январь" sheetId="2" r:id="rId1"/>
    <sheet name="февраль" sheetId="3" r:id="rId2"/>
    <sheet name="2 месяца" sheetId="26" state="hidden" r:id="rId3"/>
    <sheet name="март" sheetId="4" r:id="rId4"/>
    <sheet name="1 квартал" sheetId="1" r:id="rId5"/>
    <sheet name="апрель" sheetId="6" r:id="rId6"/>
    <sheet name="4 месяца" sheetId="27" state="hidden" r:id="rId7"/>
    <sheet name="май" sheetId="8" r:id="rId8"/>
    <sheet name="5 месяцев" sheetId="28" state="hidden" r:id="rId9"/>
    <sheet name="июнь" sheetId="10" r:id="rId10"/>
    <sheet name="2 квартал" sheetId="12" r:id="rId11"/>
    <sheet name="6 месяцев" sheetId="11" r:id="rId12"/>
    <sheet name="июль" sheetId="13" r:id="rId13"/>
    <sheet name="7 месяцев" sheetId="29" state="hidden" r:id="rId14"/>
    <sheet name="август" sheetId="15" r:id="rId15"/>
    <sheet name="8 месяцев" sheetId="30" state="hidden" r:id="rId16"/>
    <sheet name="сентябрь" sheetId="18" r:id="rId17"/>
    <sheet name="3 квартал" sheetId="19" r:id="rId18"/>
    <sheet name="9 месяцев" sheetId="20" r:id="rId19"/>
    <sheet name="10 месяцев" sheetId="32" state="hidden" r:id="rId20"/>
    <sheet name="11 месяцев" sheetId="33" state="hidden" r:id="rId21"/>
    <sheet name="2 полугодие" sheetId="31" state="hidden" r:id="rId22"/>
    <sheet name="2014г" sheetId="25" r:id="rId23"/>
  </sheets>
  <externalReferences>
    <externalReference r:id="rId24"/>
    <externalReference r:id="rId25"/>
    <externalReference r:id="rId26"/>
    <externalReference r:id="rId27"/>
  </externalReferences>
  <definedNames>
    <definedName name="\a">#REF!</definedName>
    <definedName name="\m">#REF!</definedName>
    <definedName name="\n">#REF!</definedName>
    <definedName name="\o">#REF!</definedName>
    <definedName name="_r">[1]стр.н!_r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CompOt">[1]стр.н!CompOt</definedName>
    <definedName name="CompRas">[1]стр.н!CompRas</definedName>
    <definedName name="ew">[1]стр.н!ew</definedName>
    <definedName name="ExternalData29_6">'[3]Акт перетоков'!#REF!</definedName>
    <definedName name="ExternalData3_6">'[3]Акт перетоков'!#REF!</definedName>
    <definedName name="ExternalData30_6">'[3]Акт перетоков'!#REF!</definedName>
    <definedName name="ExternalData31_6">'[3]Акт перетоков'!#REF!</definedName>
    <definedName name="ExternalData32_6">'[3]Акт перетоков'!#REF!</definedName>
    <definedName name="ExternalData33_6">'[3]Акт перетоков'!#REF!</definedName>
    <definedName name="ExternalData4_1_6">'[3]Акт перетоков'!#REF!</definedName>
    <definedName name="ExternalData4_6">'[3]Акт перетоков'!#REF!</definedName>
    <definedName name="ExternalData6_6">'[3]Акт перетоков'!#REF!</definedName>
    <definedName name="ExternalData7_6">'[3]Акт перетоков'!#REF!</definedName>
    <definedName name="fd.kmhg" localSheetId="2">'[4]8'!$J$48:$J$74,P1_T8?L4</definedName>
    <definedName name="fd.kmhg" localSheetId="6">'[4]8'!$J$48:$J$74,P1_T8?L4</definedName>
    <definedName name="fd.kmhg" localSheetId="8">'[4]8'!$J$48:$J$74,P1_T8?L4</definedName>
    <definedName name="fd.kmhg" localSheetId="13">'[4]8'!$J$48:$J$74,P1_T8?L4</definedName>
    <definedName name="fd.kmhg" localSheetId="15">'[4]8'!$J$48:$J$74,P1_T8?L4</definedName>
    <definedName name="fg">[1]стр.н!fg</definedName>
    <definedName name="k">[1]стр.н!k</definedName>
    <definedName name="lsjgfj" localSheetId="2">'[4]8'!$I$48:$I$74,P1_T8?L3</definedName>
    <definedName name="lsjgfj" localSheetId="6">'[4]8'!$I$48:$I$74,P1_T8?L3</definedName>
    <definedName name="lsjgfj" localSheetId="8">'[4]8'!$I$48:$I$74,P1_T8?L3</definedName>
    <definedName name="lsjgfj" localSheetId="13">'[4]8'!$I$48:$I$74,P1_T8?L3</definedName>
    <definedName name="lsjgfj" localSheetId="15">'[4]8'!$I$48:$I$74,P1_T8?L3</definedName>
    <definedName name="M7.3">[1]стр.н!M7.3</definedName>
    <definedName name="P1_T10?Data">'[4]10'!$D$9:$S$9,'[4]10'!$D$19:$S$20</definedName>
    <definedName name="P1_T11?Data">'[4]11'!$F$9:$Q$9,'[4]11'!$N$15:$Q$15,'[4]11'!$F$16:$Q$16</definedName>
    <definedName name="P1_T12?Data">'[4]12'!$C$29:$J$30,'[4]12'!$C$31:$E$31,'[4]12'!$H$31:$J$31,'[4]12'!$C$33:$J$33,'[4]12'!$C$35:$E$35,'[4]12'!$H$35:$J$35,'[4]12'!$C$37:$J$37,'[4]12'!$H$39:$J$39,'[4]12'!$C$13:$E$13,'[4]12'!$H$13:$J$13,'[4]12'!$C$15:$J$16</definedName>
    <definedName name="P1_T18.1?Data">'[4]18.1'!$F$34:$G$39,'[4]18.1'!$C$41:$D$41,'[4]18.1'!$F$41:$G$41,'[4]18.1'!$C$43:$D$45,'[4]18.1'!$F$43:$G$45,'[4]18.1'!$C$47:$D$47,'[4]18.1'!$F$47:$G$47,'[4]18.1'!$C$8:$D$13,'[4]18.1'!$F$8:$G$13,'[4]18.1'!$C$15:$D$20</definedName>
    <definedName name="P1_T19.1.1?Data">'[4]19.1.1'!$F$35:$G$39,'[4]19.1.1'!$C$41:$D$42,'[4]19.1.1'!$F$41:$G$42,'[4]19.1.1'!$C$44:$D$44,'[4]19.1.1'!$F$44:$G$44,'[4]19.1.1'!$C$9:$D$14,'[4]19.1.1'!$F$9:$G$14,'[4]19.1.1'!$C$16:$D$21,'[4]19.1.1'!$F$16:$G$21</definedName>
    <definedName name="P1_T19.1.2?Data">'[4]19.1.2'!$F$35:$G$39,'[4]19.1.2'!$C$41:$D$42,'[4]19.1.2'!$F$41:$G$42,'[4]19.1.2'!$C$44:$D$44,'[4]19.1.2'!$F$44:$G$44,'[4]19.1.2'!$C$9:$D$14,'[4]19.1.2'!$F$9:$G$14,'[4]19.1.2'!$C$16:$D$21,'[4]19.1.2'!$F$16:$G$21</definedName>
    <definedName name="P1_T19.2?Data">'[4]19.2'!$C$35:$F$35,'[4]19.2'!$H$35:$K$35,'[4]19.2'!$C$37:$F$37,'[4]19.2'!$H$37:$K$37,'[4]19.2'!$C$39:$F$44,'[4]19.2'!$H$39:$K$44,'[4]19.2'!$C$10:$F$10,'[4]19.2'!$H$10:$K$10,'[4]19.2'!$C$46:$F$46,'[4]19.2'!$H$46:$K$46</definedName>
    <definedName name="P1_T19.2?item_ext?СБЫТ">'[4]19.2'!$F$10:$F$46,'[4]19.2'!$I$10:$I$46</definedName>
    <definedName name="P1_T2.1?Data">'[4]2.1'!$C$38:$D$38,'[4]2.1'!$C$40:$D$40,'[4]2.1'!$C$42:$D$42,'[4]2.1'!$C$9:$D$9,'[4]2.1'!$C$11:$D$11,'[4]2.1'!$C$13:$D$13,'[4]2.1'!$C$15:$D$25,'[4]2.1'!$C$27:$D$27,'[4]2.1'!$C$29:$D$29,'[4]2.1'!$C$31:$D$31,'[4]2.1'!$C$45:$D$45</definedName>
    <definedName name="P1_T21.1?Data">'[4]21.1'!$C$32:$D$32,'[4]21.1'!$F$34:$G$34,'[4]21.1'!$C$34:$D$34,'[4]21.1'!$F$8:$G$8,'[4]21.1'!$C$8:$D$8,'[4]21.1'!$F$10:$G$11,'[4]21.1'!$C$10:$D$11,'[4]21.1'!$F$13:$G$16,'[4]21.1'!$C$13:$D$16,'[4]21.1'!$F$18:$G$20</definedName>
    <definedName name="P1_T21.2.1?Data">'[4]21.2.1'!$C$9:$D$9,'[4]21.2.1'!$F$11:$G$12,'[4]21.2.1'!$C$11:$D$12,'[4]21.2.1'!$F$14:$G$17,'[4]21.2.1'!$C$14:$D$17,'[4]21.2.1'!$F$19:$G$21,'[4]21.2.1'!$C$19:$D$21,'[4]21.2.1'!$F$23:$G$23,'[4]21.2.1'!$C$23:$D$23</definedName>
    <definedName name="P1_T21.2.2?Data">'[4]21.2.2'!$C$9:$D$9,'[4]21.2.2'!$F$11:$G$12,'[4]21.2.2'!$C$11:$D$12,'[4]21.2.2'!$F$14:$G$17,'[4]21.2.2'!$C$14:$D$17,'[4]21.2.2'!$F$19:$G$21,'[4]21.2.2'!$C$19:$D$21,'[4]21.2.2'!$F$23:$G$23,'[4]21.2.2'!$C$23:$D$23</definedName>
    <definedName name="P1_T21.4?Data">'[4]21.4'!$C$11:$D$11,'[4]21.4'!$F$13:$G$14,'[4]21.4'!$C$13:$D$14,'[4]21.4'!$F$16:$G$19,'[4]21.4'!$C$16:$D$19,'[4]21.4'!$F$21:$G$23,'[4]21.4'!$C$21:$D$23,'[4]21.4'!$F$25:$G$25,'[4]21.4'!$C$25:$D$25,'[4]21.4'!$F$27:$G$28</definedName>
    <definedName name="P1_T27?L3.1">'[4]27'!$AE$13:$AI$13,'[4]27'!$E$13:$I$13</definedName>
    <definedName name="P1_T27?L3.2">'[4]27'!$L$14:$P$14,'[4]27'!$E$14:$I$14</definedName>
    <definedName name="P1_T27?L4.1">'[4]27'!$AL$17:$AO$17,'[4]27'!$F$17:$I$17,'[4]27'!$Z$17:$AC$17,'[4]27'!$AF$17:$AI$17</definedName>
    <definedName name="P1_T27?L4.1.1">'[4]27'!$F$18:$I$18,'[4]27'!$AR$18:$AU$18,'[4]27'!$AL$18:$AO$18,'[4]27'!$Z$18:$AC$18,'[4]27'!$T$18:$W$18</definedName>
    <definedName name="P1_T27?L4.1.1.1">'[4]27'!$AR$19:$AU$19,'[4]27'!$M$19:$P$19,'[4]27'!$AF$19:$AI$19,'[4]27'!$AL$19:$AO$19,'[4]27'!$Z$19:$AC$19</definedName>
    <definedName name="P1_T27?L4.1.2">'[4]27'!$Z$20:$AC$20,'[4]27'!$M$20:$P$20,'[4]27'!$AL$20:$AO$20,'[4]27'!$AF$20:$AI$20,'[4]27'!$AR$20:$AU$20</definedName>
    <definedName name="P1_T27?L4.2">'[4]27'!$E$22:$I$22,'[4]27'!$AL$22:$AO$22,'[4]27'!$M$22:$P$22</definedName>
    <definedName name="P1_T28.3?unit?РУБ.ГКАЛ">'[4]28.3'!$E$52:$S$52,'[4]28.3'!$E$44:$S$44,'[4]28.3'!$E$46:$S$46</definedName>
    <definedName name="P1_T28.3?unit?ТРУБ">'[4]28.3'!$A$56:$S$57,'[4]28.3'!$A$27:$S$27</definedName>
    <definedName name="P1_T29?item_ext?1СТ">'[4]29'!$G$14:$X$14,'[4]29'!$G$20:$X$20,'[4]29'!$G$34:$X$34,'[4]29'!$G$31:$X$31</definedName>
    <definedName name="P1_T29?item_ext?2СТ.М">'[4]29'!$G$16:$X$16,'[4]29'!$G$27:$X$27</definedName>
    <definedName name="P1_T29?item_ext?2СТ.Э">'[4]29'!$G$17:$X$17,'[4]29'!$G$28:$X$28</definedName>
    <definedName name="P1_T29?L10">'[4]29'!$M$14:$X$14,'[4]29'!$M$20:$X$20,'[4]29'!$M$34:$X$34,'[4]29'!$M$31:$X$31</definedName>
    <definedName name="P1_T29?L4">'[4]29'!$G$16:$G$17,'[4]29'!$G$20,'[4]29'!$G$41:$G$42,'[4]29'!$G$27:$G$28</definedName>
    <definedName name="P1_T29?L5">'[4]29'!$H$17,'[4]29'!$H$31,'[4]29'!$H$34,'[4]29'!$H$20,'[4]29'!$H$42,'[4]29'!$H$28</definedName>
    <definedName name="P1_T29?L6">'[4]29'!$I$41:$L$42</definedName>
    <definedName name="P1_T7?Data">'[4]7'!$D$39:$S$39,'[4]7'!$D$41:$S$41,'[4]7'!$D$47:$S$47,'[4]7'!$D$49:$S$49,'[4]7'!$D$43:$S$43,'[4]7'!$D$28:$S$28,'[4]7'!$D$45:$S$45,'[4]7'!$D$14:$S$15,'[4]7'!$D$17:$S$17,'[4]7'!$D$19:$S$19,'[4]7'!$D$21:$S$21,'[4]7'!$D$23:$S$23</definedName>
    <definedName name="P1_T8?L3">'[4]8'!$G$11:$G$37,'[4]8'!$G$48:$G$74,'[4]8'!$I$11:$I$37</definedName>
    <definedName name="P1_T8?L4">'[4]8'!$H$11:$H$37,'[4]8'!$H$48:$H$74,'[4]8'!$J$11:$J$37</definedName>
    <definedName name="P1_T8?unit?ГКАЛ.Ч">'[4]8'!$G$11:$G$37,'[4]8'!$I$11:$I$37,'[4]8'!$G$48:$G$74</definedName>
    <definedName name="P1_T8?unit?ТГКАЛ">'[4]8'!$H$11:$H$37,'[4]8'!$J$11:$J$37,'[4]8'!$H$48:$H$74</definedName>
    <definedName name="P2_T18.1?Data">'[4]18.1'!$F$15:$G$20,'[4]18.1'!$C$22:$D$26,'[4]18.1'!$F$22:$G$26,'[4]18.1'!$C$28:$D$28,'[4]18.1'!$F$28:$G$28,'[4]18.1'!$C$30:$D$30,'[4]18.1'!$F$30:$G$30,'[4]18.1'!$C$32:$D$32,'[4]18.1'!$F$32:$G$32,'[4]18.1'!$C$34:$D$39</definedName>
    <definedName name="P2_T19.1.1?Data">'[4]19.1.1'!$C$23:$D$27,'[4]19.1.1'!$F$23:$G$27,'[4]19.1.1'!$C$29:$D$29,'[4]19.1.1'!$F$29:$G$29,'[4]19.1.1'!$C$31:$D$31,'[4]19.1.1'!$F$31:$G$31,'[4]19.1.1'!$C$33:$D$33,'[4]19.1.1'!$F$33:$G$33,'[4]19.1.1'!$C$35:$D$39</definedName>
    <definedName name="P2_T19.1.2?Data">'[4]19.1.2'!$C$23:$D$27,'[4]19.1.2'!$F$23:$G$27,'[4]19.1.2'!$C$29:$D$29,'[4]19.1.2'!$F$29:$G$29,'[4]19.1.2'!$C$31:$D$31,'[4]19.1.2'!$F$31:$G$31,'[4]19.1.2'!$C$33:$D$33,'[4]19.1.2'!$F$33:$G$33,'[4]19.1.2'!$C$35:$D$39</definedName>
    <definedName name="P2_T19.2?Data">'[4]19.2'!$C$12:$F$18,'[4]19.2'!$H$12:$K$18,'[4]19.2'!$C$20:$F$25,'[4]19.2'!$H$20:$K$25,'[4]19.2'!$C$27:$F$31,'[4]19.2'!$H$27:$K$31,'[4]19.2'!$C$33:$F$33,'[4]19.2'!$C$48:$F$49,'[4]19.2'!$H$48:$K$49,'[4]19.2'!$H$33:$K$33</definedName>
    <definedName name="P2_T21.2.1?Data">'[4]21.2.1'!$F$25:$G$26,'[4]21.2.1'!$C$25:$D$26,'[4]21.2.1'!$F$28:$G$31,'[4]21.2.1'!$C$28:$D$31,'[4]21.2.1'!$F$33:$G$33,'[4]21.2.1'!$C$33:$D$33,'[4]21.2.1'!$F$35:$G$35,'[4]21.2.1'!$C$35:$D$35,'[4]21.2.1'!$F$9:$G$9</definedName>
    <definedName name="P2_T21.2.2?Data">'[4]21.2.2'!$F$25:$G$26,'[4]21.2.2'!$C$25:$D$26,'[4]21.2.2'!$F$28:$G$31,'[4]21.2.2'!$C$28:$D$31,'[4]21.2.2'!$F$33:$G$33,'[4]21.2.2'!$C$33:$D$33,'[4]21.2.2'!$F$35:$G$35,'[4]21.2.2'!$C$35:$D$35,'[4]21.2.2'!$F$9:$G$9</definedName>
    <definedName name="P2_T21.4?Data">'[4]21.4'!$C$27:$D$28,'[4]21.4'!$F$30:$G$33,'[4]21.4'!$C$30:$D$33,'[4]21.4'!$F$35:$G$35,'[4]21.4'!$C$35:$D$35,'[4]21.4'!$F$37:$G$37,'[4]21.4'!$C$37:$D$37,'[4]21.4'!$F$39:$G$40,'[4]21.4'!$C$39:$D$40,'[4]21.4'!$F$11:$G$11</definedName>
    <definedName name="P2_T28.3?unit?РУБ.ГКАЛ">'[4]28.3'!$E$48:$S$50,'[4]28.3'!$E$19:$S$19,'[4]28.3'!$E$17:$S$17,'[4]28.3'!$E$21:$S$23,'[4]28.3'!$E$25:$S$25</definedName>
    <definedName name="P2_T29?L6">'[4]29'!$I$14:$L$14,'[4]29'!$I$31:$L$31,'[4]29'!$I$16:$L$17,'[4]29'!$I$20:$L$25</definedName>
    <definedName name="qr" localSheetId="2">'[4]8'!$J$48:$J$74,P1_T8?unit?ТГКАЛ</definedName>
    <definedName name="qr" localSheetId="6">'[4]8'!$J$48:$J$74,P1_T8?unit?ТГКАЛ</definedName>
    <definedName name="qr" localSheetId="8">'[4]8'!$J$48:$J$74,P1_T8?unit?ТГКАЛ</definedName>
    <definedName name="qr" localSheetId="13">'[4]8'!$J$48:$J$74,P1_T8?unit?ТГКАЛ</definedName>
    <definedName name="qr" localSheetId="15">'[4]8'!$J$48:$J$74,P1_T8?unit?ТГКАЛ</definedName>
    <definedName name="qwr" localSheetId="2">'[4]8'!$I$48:$I$74,P1_T8?unit?ГКАЛ.Ч</definedName>
    <definedName name="qwr" localSheetId="6">'[4]8'!$I$48:$I$74,P1_T8?unit?ГКАЛ.Ч</definedName>
    <definedName name="qwr" localSheetId="8">'[4]8'!$I$48:$I$74,P1_T8?unit?ГКАЛ.Ч</definedName>
    <definedName name="qwr" localSheetId="13">'[4]8'!$I$48:$I$74,P1_T8?unit?ГКАЛ.Ч</definedName>
    <definedName name="qwr" localSheetId="15">'[4]8'!$I$48:$I$74,P1_T8?unit?ГКАЛ.Ч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heet2?prefix?">"H"</definedName>
    <definedName name="T1.1?axis?R?ПЭ">'[4]1.1'!$D$13:$E$13,'[4]1.1'!$D$9:$E$9</definedName>
    <definedName name="T1.1?axis?R?ПЭ?">'[4]1.1'!$B$13:$B$13,'[4]1.1'!$B$9:$B$9</definedName>
    <definedName name="T1.1?Data">'[4]1.1'!$D$9:$E$9,'[4]1.1'!$D$11:$E$11,'[4]1.1'!$D$13:$E$13,'[4]1.1'!$D$15:$E$22,'[4]1.1'!$D$6:$E$7</definedName>
    <definedName name="T1.2?Data">'[4]1.2'!$D$8:$E$10,'[4]1.2'!$D$12:$E$17,'[4]1.2'!$D$19:$E$22,'[4]1.2'!$D$6:$E$6</definedName>
    <definedName name="T10?Data" localSheetId="2">'[4]10'!$D$16:$S$16,'[4]10'!$D$12:$S$13,P1_T10?Data</definedName>
    <definedName name="T10?Data" localSheetId="6">'[4]10'!$D$16:$S$16,'[4]10'!$D$12:$S$13,P1_T10?Data</definedName>
    <definedName name="T10?Data" localSheetId="8">'[4]10'!$D$16:$S$16,'[4]10'!$D$12:$S$13,P1_T10?Data</definedName>
    <definedName name="T10?Data" localSheetId="13">'[4]10'!$D$16:$S$16,'[4]10'!$D$12:$S$13,P1_T10?Data</definedName>
    <definedName name="T10?Data" localSheetId="15">'[4]10'!$D$16:$S$16,'[4]10'!$D$12:$S$13,P1_T10?Data</definedName>
    <definedName name="T10?L10">'[4]10'!$K$9,'[4]10'!$K$12:$K$13</definedName>
    <definedName name="T10?L11">'[4]10'!$L$9,'[4]10'!$L$12:$L$13</definedName>
    <definedName name="T10?L12">'[4]10'!$M$9,'[4]10'!$M$12:$M$13</definedName>
    <definedName name="T10?L13">'[4]10'!$N$9,'[4]10'!$N$12:$N$13</definedName>
    <definedName name="T10?L14">'[4]10'!$O$9,'[4]10'!$O$12:$O$13</definedName>
    <definedName name="T10?L15">'[4]10'!$P$9,'[4]10'!$P$12:$P$13</definedName>
    <definedName name="T10?L16">'[4]10'!$Q$9,'[4]10'!$Q$12:$Q$13</definedName>
    <definedName name="T10?L17">'[4]10'!$R$9,'[4]10'!$R$12:$R$13</definedName>
    <definedName name="T10?L18">'[4]10'!$S$9,'[4]10'!$S$12:$S$13</definedName>
    <definedName name="T10?L3">'[4]10'!$D$9,'[4]10'!$D$12:$D$13</definedName>
    <definedName name="T10?L4">'[4]10'!$E$9,'[4]10'!$E$12:$E$13</definedName>
    <definedName name="T10?L5">'[4]10'!$F$9,'[4]10'!$F$12:$F$13</definedName>
    <definedName name="T10?L6">'[4]10'!$G$9,'[4]10'!$G$12:$G$13</definedName>
    <definedName name="T10?L7">'[4]10'!$H$9,'[4]10'!$H$12:$H$13</definedName>
    <definedName name="T10?L8">'[4]10'!$I$9,'[4]10'!$I$12:$I$13</definedName>
    <definedName name="T10?L9">'[4]10'!$J$9,'[4]10'!$J$12:$J$13</definedName>
    <definedName name="T10?unit?РУБ.ТНТ">'[4]10'!$L$8:$L$21,'[4]10'!$O$8:$O$21,'[4]10'!$R$8:$R$21,'[4]10'!$E$8:$E$21,'[4]10'!$H$8:$H$21</definedName>
    <definedName name="T10?unit?ТРУБ">'[4]10'!$M$8:$M$21,'[4]10'!$P$8:$P$21,'[4]10'!$S$8:$S$21,'[4]10'!$F$8:$F$21</definedName>
    <definedName name="T10?unit?ТТНТ">'[4]10'!$N$8:$N$21,'[4]10'!$Q$8:$Q$21,'[4]10'!$D$8:$D$21,'[4]10'!$G$8:$G$21</definedName>
    <definedName name="T11?axis?R?ВТОП">'[4]11'!$F$8:$Q$14,'[4]11'!$F$18:$Q$24</definedName>
    <definedName name="T11?axis?R?ВТОП?">'[4]11'!$D$8:$D$14,'[4]11'!$D$18:$D$24</definedName>
    <definedName name="T11?axis?R?ПЭ">'[4]11'!$F$8:$Q$14,'[4]11'!$F$18:$Q$24</definedName>
    <definedName name="T11?axis?R?ПЭ?">'[4]11'!$B$8:$B$14,'[4]11'!$B$18:$B$24</definedName>
    <definedName name="T11?axis?R?СЦТ">'[4]11'!$F$16:$Q$16,'[4]11'!$F$26:$Q$26</definedName>
    <definedName name="T11?axis?R?СЦТ?">'[4]11'!$A$26:$A$26,'[4]11'!$A$16:$A$16</definedName>
    <definedName name="T11?Data" localSheetId="2">'[4]11'!$F$25:$H$25,'[4]11'!$N$25:$Q$25,'[4]11'!$F$26:$Q$26,'[4]11'!$F$22:$Q$23,'[4]11'!$F$19:$Q$19,'[4]11'!$F$12:$Q$13,'[4]11'!$F$15:$H$15,P1_T11?Data</definedName>
    <definedName name="T11?Data" localSheetId="6">'[4]11'!$F$25:$H$25,'[4]11'!$N$25:$Q$25,'[4]11'!$F$26:$Q$26,'[4]11'!$F$22:$Q$23,'[4]11'!$F$19:$Q$19,'[4]11'!$F$12:$Q$13,'[4]11'!$F$15:$H$15,P1_T11?Data</definedName>
    <definedName name="T11?Data" localSheetId="8">'[4]11'!$F$25:$H$25,'[4]11'!$N$25:$Q$25,'[4]11'!$F$26:$Q$26,'[4]11'!$F$22:$Q$23,'[4]11'!$F$19:$Q$19,'[4]11'!$F$12:$Q$13,'[4]11'!$F$15:$H$15,P1_T11?Data</definedName>
    <definedName name="T11?Data" localSheetId="13">'[4]11'!$F$25:$H$25,'[4]11'!$N$25:$Q$25,'[4]11'!$F$26:$Q$26,'[4]11'!$F$22:$Q$23,'[4]11'!$F$19:$Q$19,'[4]11'!$F$12:$Q$13,'[4]11'!$F$15:$H$15,P1_T11?Data</definedName>
    <definedName name="T11?Data" localSheetId="15">'[4]11'!$F$25:$H$25,'[4]11'!$N$25:$Q$25,'[4]11'!$F$26:$Q$26,'[4]11'!$F$22:$Q$23,'[4]11'!$F$19:$Q$19,'[4]11'!$F$12:$Q$13,'[4]11'!$F$15:$H$15,P1_T11?Data</definedName>
    <definedName name="T11?item_ext?ВСЕГО">'[4]11'!$A$22:$Q$24,'[4]11'!$A$12:$Q$14</definedName>
    <definedName name="T11?item_ext?ИТОГО">'[4]11'!$A$25:$Q$25,'[4]11'!$A$15:$Q$15</definedName>
    <definedName name="T11?item_ext?СЦТ">'[4]11'!$A$26:$Q$27,'[4]11'!$A$16:$Q$17</definedName>
    <definedName name="T12?axis?R?ПЭ">'[4]12'!$C$19:$J$19,'[4]12'!$C$23:$J$23,'[4]12'!$C$29:$J$31,'[4]12'!$C$33:$J$33,'[4]12'!$C$37:$J$37,'[4]12'!$C$15:$J$17</definedName>
    <definedName name="T12?axis?R?ПЭ?">'[4]12'!$B$19:$B$19,'[4]12'!$B$23:$B$23,'[4]12'!$B$29:$B$31,'[4]12'!$B$33:$B$33,'[4]12'!$B$37:$B$37,'[4]12'!$B$15:$B$17</definedName>
    <definedName name="T12?Data" localSheetId="2">'[4]12'!$C$17:$E$17,'[4]12'!$H$17:$J$17,'[4]12'!$C$19:$J$19,'[4]12'!$C$21:$E$21,'[4]12'!$H$21:$J$21,'[4]12'!$C$23:$J$23,'[4]12'!$H$25:$J$25,'[4]12'!$C$27:$E$27,'[4]12'!$H$27:$J$27,P1_T12?Data</definedName>
    <definedName name="T12?Data" localSheetId="6">'[4]12'!$C$17:$E$17,'[4]12'!$H$17:$J$17,'[4]12'!$C$19:$J$19,'[4]12'!$C$21:$E$21,'[4]12'!$H$21:$J$21,'[4]12'!$C$23:$J$23,'[4]12'!$H$25:$J$25,'[4]12'!$C$27:$E$27,'[4]12'!$H$27:$J$27,P1_T12?Data</definedName>
    <definedName name="T12?Data" localSheetId="8">'[4]12'!$C$17:$E$17,'[4]12'!$H$17:$J$17,'[4]12'!$C$19:$J$19,'[4]12'!$C$21:$E$21,'[4]12'!$H$21:$J$21,'[4]12'!$C$23:$J$23,'[4]12'!$H$25:$J$25,'[4]12'!$C$27:$E$27,'[4]12'!$H$27:$J$27,P1_T12?Data</definedName>
    <definedName name="T12?Data" localSheetId="13">'[4]12'!$C$17:$E$17,'[4]12'!$H$17:$J$17,'[4]12'!$C$19:$J$19,'[4]12'!$C$21:$E$21,'[4]12'!$H$21:$J$21,'[4]12'!$C$23:$J$23,'[4]12'!$H$25:$J$25,'[4]12'!$C$27:$E$27,'[4]12'!$H$27:$J$27,P1_T12?Data</definedName>
    <definedName name="T12?Data" localSheetId="15">'[4]12'!$C$17:$E$17,'[4]12'!$H$17:$J$17,'[4]12'!$C$19:$J$19,'[4]12'!$C$21:$E$21,'[4]12'!$H$21:$J$21,'[4]12'!$C$23:$J$23,'[4]12'!$H$25:$J$25,'[4]12'!$C$27:$E$27,'[4]12'!$H$27:$J$27,P1_T12?Data</definedName>
    <definedName name="T12?item_ext?ВСЕГО">'[4]12'!$C$25:$J$25,'[4]12'!$C$39:$J$39</definedName>
    <definedName name="T12?item_ext?ТЭ">'[4]12'!$C$22:$J$24,'[4]12'!$C$36:$J$38</definedName>
    <definedName name="T12?item_ext?ТЭ.ВСЕГО">'[4]12'!$C$21:$J$21,'[4]12'!$C$35:$J$35</definedName>
    <definedName name="T12?item_ext?ЭЭ">'[4]12'!$C$15:$J$20,'[4]12'!$C$29:$J$34</definedName>
    <definedName name="T12?item_ext?ЭЭ.ВСЕГО">'[4]12'!$C$13:$J$13,'[4]12'!$C$27:$J$27</definedName>
    <definedName name="T12?L10">'[4]12'!$J$35,'[4]12'!$J$37:$J$37,'[4]12'!$J$39,'[4]12'!$J$13,'[4]12'!$J$15:$J$17,'[4]12'!$J$19:$J$19,'[4]12'!$J$21,'[4]12'!$J$23:$J$23,'[4]12'!$J$25,'[4]12'!$J$27,'[4]12'!$J$29:$J$31,'[4]12'!$J$33:$J$33</definedName>
    <definedName name="T12?L3">'[4]12'!$C$35,'[4]12'!$C$37:$C$37,'[4]12'!$C$13,'[4]12'!$C$15:$C$17,'[4]12'!$C$19:$C$19,'[4]12'!$C$21,'[4]12'!$C$23:$C$23,'[4]12'!$C$27,'[4]12'!$C$29:$C$31,'[4]12'!$C$33:$C$33</definedName>
    <definedName name="T12?L4">'[4]12'!$D$35,'[4]12'!$D$37:$D$37,'[4]12'!$D$13,'[4]12'!$D$15:$D$17,'[4]12'!$D$19:$D$19,'[4]12'!$D$21,'[4]12'!$D$23:$D$23,'[4]12'!$D$27,'[4]12'!$D$29:$D$31,'[4]12'!$D$33:$D$33</definedName>
    <definedName name="T12?L5">'[4]12'!$E$35,'[4]12'!$E$37:$E$37,'[4]12'!$E$13,'[4]12'!$E$15:$E$17,'[4]12'!$E$19:$E$19,'[4]12'!$E$21,'[4]12'!$E$23:$E$23,'[4]12'!$E$27,'[4]12'!$E$29:$E$31,'[4]12'!$E$33:$E$33</definedName>
    <definedName name="T12?L6">'[4]12'!$F$37:$F$37,'[4]12'!$F$15:$F$16,'[4]12'!$F$19:$F$19,'[4]12'!$F$23:$F$23,'[4]12'!$F$29:$F$30,'[4]12'!$F$33:$F$33</definedName>
    <definedName name="T12?L7">'[4]12'!$G$37:$G$37,'[4]12'!$G$15:$G$16,'[4]12'!$G$19:$G$19,'[4]12'!$G$23:$G$23,'[4]12'!$G$29:$G$30,'[4]12'!$G$33:$G$33</definedName>
    <definedName name="T12?L8">'[4]12'!$H$35,'[4]12'!$H$37:$H$37,'[4]12'!$H$39,'[4]12'!$H$13,'[4]12'!$H$15:$H$17,'[4]12'!$H$19:$H$19,'[4]12'!$H$21,'[4]12'!$H$23:$H$23,'[4]12'!$H$25,'[4]12'!$H$27,'[4]12'!$H$29:$H$31,'[4]12'!$H$33:$H$33</definedName>
    <definedName name="T12?L9">'[4]12'!$I$35,'[4]12'!$I$37:$I$37,'[4]12'!$I$39,'[4]12'!$I$13,'[4]12'!$I$15:$I$17,'[4]12'!$I$19:$I$19,'[4]12'!$I$21,'[4]12'!$I$23:$I$23,'[4]12'!$I$25,'[4]12'!$I$27,'[4]12'!$I$29:$I$31,'[4]12'!$I$33:$I$33</definedName>
    <definedName name="T12?unit?ГКАЛ.Ч">'[4]12'!$D$21:$D$24,'[4]12'!$D$35:$D$38</definedName>
    <definedName name="T12?unit?МВТ">'[4]12'!$D$13:$D$19,'[4]12'!$D$27:$D$33</definedName>
    <definedName name="T12?unit?МКВТЧ">'[4]12'!$C$13:$C$19,'[4]12'!$C$27:$C$33</definedName>
    <definedName name="T12?unit?РУБ.ГКАЛ">'[4]12'!$E$21:$E$24,'[4]12'!$G$21:$G$24,'[4]12'!$E$35:$E$38,'[4]12'!$G$35:$G$38</definedName>
    <definedName name="T12?unit?РУБ.КВТ">'[4]12'!$F$13:$F$19,'[4]12'!$F$27:$F$33</definedName>
    <definedName name="T12?unit?РУБ.ТКВТЧ">'[4]12'!$E$13:$E$19,'[4]12'!$G$13:$G$19,'[4]12'!$E$27:$E$33,'[4]12'!$G$27:$G$33</definedName>
    <definedName name="T12?unit?ТГКАЛ">'[4]12'!$C$21:$C$24,'[4]12'!$C$35:$C$38</definedName>
    <definedName name="T12?unit?ТРУБ.ГКАЛ.Ч">'[4]12'!$F$21:$F$24,'[4]12'!$F$35:$F$38</definedName>
    <definedName name="T13?Data">'[4]13'!$C$9:$E$9,'[4]13'!$D$12:$E$12,'[4]13'!$C$14:$E$14,'[4]13'!$E$7</definedName>
    <definedName name="T14?axis?R?ПЭ">'[4]14'!$C$8:$E$8,'[4]14'!$C$12:$E$12</definedName>
    <definedName name="T14?axis?R?ПЭ?">'[4]14'!$B$8:$B$8,'[4]14'!$B$12:$B$12</definedName>
    <definedName name="T14?Data">'[4]14'!$E$6,'[4]14'!$C$8:$E$8,'[4]14'!$C$10,'[4]14'!$E$10,'[4]14'!$C$12:$E$12,'[4]14'!$C$6</definedName>
    <definedName name="T14?item_ext?ВСЕГО">'[4]14'!$A$6:$E$6,'[4]14'!$A$10:$E$10</definedName>
    <definedName name="T14?L3">'[4]14'!$C$10,'[4]14'!$C$12:$C$12,'[4]14'!$C$6,'[4]14'!$C$8:$C$8</definedName>
    <definedName name="T14?L4">'[4]14'!$D$10,'[4]14'!$D$12:$D$12,'[4]14'!$D$6,'[4]14'!$D$8:$D$8</definedName>
    <definedName name="T14?L5">'[4]14'!$E$10,'[4]14'!$E$12:$E$12,'[4]14'!$E$6,'[4]14'!$E$8:$E$8</definedName>
    <definedName name="T15?axis?ПРД?БАЗ">'[4]15'!$G$10:$G$52,'[4]15'!$I$10:$I$52,'[4]15'!$K$10:$K$52,'[4]15'!$M$10:$M$52,'[4]15'!$O$10:$O$52,'[4]15'!$E$10:$E$52,'[4]15'!$C$10:$C$52</definedName>
    <definedName name="T15?axis?ПРД?РЕГ">'[4]15'!$H$10:$H$52,'[4]15'!$J$10:$J$52,'[4]15'!$L$10:$L$52,'[4]15'!$N$10:$N$52,'[4]15'!$P$10:$P$52,'[4]15'!$F$10:$F$52,'[4]15'!$D$10:$D$52</definedName>
    <definedName name="T15?Data">'[4]15'!$C$26:$P$30,'[4]15'!$C$31:$H$31,'[4]15'!$C$32:$P$35,'[4]15'!$C$37:$P$37,'[4]15'!$C$39:$P$43,'[4]15'!$C$45:$P$52,'[4]15'!$C$10:$P$24</definedName>
    <definedName name="T16?axis?ПРД?БАЗ">'[4]16'!$F$7:$F$47,'[4]16'!$H$7:$H$47,'[4]16'!$J$7:$J$47,'[4]16'!$L$7:$L$47,'[4]16'!$D$7:$D$47</definedName>
    <definedName name="T16?axis?ПРД?РЕГ">'[4]16'!$G$7:$G$47,'[4]16'!$I$7:$I$47,'[4]16'!$K$7:$K$47,'[4]16'!$M$7:$M$47,'[4]16'!$E$7:$E$47</definedName>
    <definedName name="T16?Data">'[4]16'!$D$26:$M$27,'[4]16'!$D$29:$M$31,'[4]16'!$D$10:$M$15,'[4]16'!$D$17:$M$18,'[4]16'!$D$20:$M$21,'[4]16'!$D$23:$M$24,'[4]16'!$D$33:$M$35,'[4]16'!$D$37:$M$41,'[4]16'!$D$43:$M$47,'[4]16'!$D$7:$M$8</definedName>
    <definedName name="T16?unit?ПРЦ">'[4]16'!$D$20:$M$20,'[4]16'!$D$23:$M$23,'[4]16'!$D$26:$M$26,'[4]16'!$D$29:$M$29,'[4]16'!$D$17:$M$17</definedName>
    <definedName name="T16?unit?РУБ.ЧЕЛ">'[4]16'!$D$15:$M$15,'[4]16'!$D$18:$M$18,'[4]16'!$D$21:$M$21,'[4]16'!$D$24:$M$24,'[4]16'!$D$27:$M$27,'[4]16'!$D$30:$M$31,'[4]16'!$D$38:$M$38,'[4]16'!$D$44:$M$44,'[4]16'!$D$47:$M$47,'[4]16'!$D$10:$M$10</definedName>
    <definedName name="T16?unit?ТРУБ">'[4]16'!$D$39:$M$41,'[4]16'!$D$45:$M$46,'[4]16'!$D$33:$M$35</definedName>
    <definedName name="T16?unit?ЧЕЛ">'[4]16'!$D$37:$M$37,'[4]16'!$D$43:$M$43,'[4]16'!$D$7:$M$8</definedName>
    <definedName name="T17?axis?ПРД?БАЗ">'[4]17'!$E$7:$E$12,'[4]17'!$G$7:$G$12,'[4]17'!$I$7:$I$12,'[4]17'!$K$7:$K$12,'[4]17'!$C$7:$C$12</definedName>
    <definedName name="T17?axis?ПРД?РЕГ">'[4]17'!$F$7:$F$12,'[4]17'!$H$7:$H$12,'[4]17'!$J$7:$J$12,'[4]17'!$L$7:$L$12,'[4]17'!$D$7:$D$12</definedName>
    <definedName name="T17?unit?ТРУБ">'[4]17'!$C$7:$L$10,'[4]17'!$C$12:$L$12</definedName>
    <definedName name="T18.1?axis?R?ВРАС">'[4]18.1'!$C$28:$G$28,'[4]18.1'!$C$32:$G$32</definedName>
    <definedName name="T18.1?axis?R?ВРАС?">'[4]18.1'!$B$28:$B$28,'[4]18.1'!$B$32:$B$32</definedName>
    <definedName name="T18.1?axis?ПРД?БАЗ">'[4]18.1'!$C$8:$C$47,'[4]18.1'!$F$8:$F$47</definedName>
    <definedName name="T18.1?axis?ПРД?РЕГ">'[4]18.1'!$D$8:$D$47,'[4]18.1'!$G$8:$G$47</definedName>
    <definedName name="T18.1?Data" localSheetId="2">P1_T18.1?Data,P2_T18.1?Data</definedName>
    <definedName name="T18.1?Data" localSheetId="6">P1_T18.1?Data,P2_T18.1?Data</definedName>
    <definedName name="T18.1?Data" localSheetId="8">P1_T18.1?Data,P2_T18.1?Data</definedName>
    <definedName name="T18.1?Data" localSheetId="13">P1_T18.1?Data,P2_T18.1?Data</definedName>
    <definedName name="T18.1?Data" localSheetId="15">P1_T18.1?Data,P2_T18.1?Data</definedName>
    <definedName name="T18.1?L1">'[4]18.1'!$C$8:$D$8,'[4]18.1'!$F$8:$G$8</definedName>
    <definedName name="T18.1?L10">'[4]18.1'!$C$34:$D$34,'[4]18.1'!$F$34:$G$34</definedName>
    <definedName name="T18.1?L11">'[4]18.1'!$C$35:$D$35,'[4]18.1'!$F$35:$G$35</definedName>
    <definedName name="T18.1?L12">'[4]18.1'!$C$36:$D$36,'[4]18.1'!$F$36:$G$36</definedName>
    <definedName name="T18.1?L13">'[4]18.1'!$C$37:$D$37,'[4]18.1'!$F$37:$G$37</definedName>
    <definedName name="T18.1?L14">'[4]18.1'!$C$38:$D$38,'[4]18.1'!$F$38:$G$38</definedName>
    <definedName name="T18.1?L15">'[4]18.1'!$C$39:$D$39,'[4]18.1'!$F$39:$G$39</definedName>
    <definedName name="T18.1?L15.1">'[4]18.1'!$C$41:$D$41,'[4]18.1'!$F$41:$G$41</definedName>
    <definedName name="T18.1?L15.1.1">'[4]18.1'!$C$43:$D$43,'[4]18.1'!$F$43:$G$43</definedName>
    <definedName name="T18.1?L15.1.2">'[4]18.1'!$C$44:$D$44,'[4]18.1'!$F$44:$G$44</definedName>
    <definedName name="T18.1?L16">'[4]18.1'!$C$45:$D$45,'[4]18.1'!$F$45:$G$45</definedName>
    <definedName name="T18.1?L16.1">'[4]18.1'!$C$47:$D$47,'[4]18.1'!$F$47:$G$47</definedName>
    <definedName name="T18.1?L2">'[4]18.1'!$C$9:$D$9,'[4]18.1'!$F$9:$G$9</definedName>
    <definedName name="T18.1?L3">'[4]18.1'!$C$10:$D$10,'[4]18.1'!$F$10:$G$10</definedName>
    <definedName name="T18.1?L4">'[4]18.1'!$C$11:$D$11,'[4]18.1'!$F$11:$G$11</definedName>
    <definedName name="T18.1?L5">'[4]18.1'!$C$12:$D$12,'[4]18.1'!$F$12:$G$12</definedName>
    <definedName name="T18.1?L6">'[4]18.1'!$C$13:$D$13,'[4]18.1'!$F$13:$G$13</definedName>
    <definedName name="T18.1?L6.1">'[4]18.1'!$C$15:$D$15,'[4]18.1'!$F$15:$G$15</definedName>
    <definedName name="T18.1?L6.2">'[4]18.1'!$C$16:$D$16,'[4]18.1'!$F$16:$G$16</definedName>
    <definedName name="T18.1?L6.3">'[4]18.1'!$C$17:$D$17,'[4]18.1'!$F$17:$G$17</definedName>
    <definedName name="T18.1?L7">'[4]18.1'!$C$18:$D$18,'[4]18.1'!$F$18:$G$18</definedName>
    <definedName name="T18.1?L8">'[4]18.1'!$C$19:$D$19,'[4]18.1'!$F$19:$G$19</definedName>
    <definedName name="T18.1?L9">'[4]18.1'!$C$20:$D$20,'[4]18.1'!$F$20:$G$20</definedName>
    <definedName name="T18.1?L9.1">'[4]18.1'!$C$22:$D$22,'[4]18.1'!$F$22:$G$22</definedName>
    <definedName name="T18.1?L9.2">'[4]18.1'!$C$23:$D$23,'[4]18.1'!$F$23:$G$23</definedName>
    <definedName name="T18.1?L9.3">'[4]18.1'!$C$24:$D$24,'[4]18.1'!$F$24:$G$24</definedName>
    <definedName name="T18.1?L9.4">'[4]18.1'!$C$25:$D$25,'[4]18.1'!$F$25:$G$25</definedName>
    <definedName name="T18.1?L9.5">'[4]18.1'!$C$26:$D$26,'[4]18.1'!$F$26:$G$26</definedName>
    <definedName name="T18.1?L9.5.x">'[4]18.1'!$C$28:$D$28,'[4]18.1'!$F$28:$G$28</definedName>
    <definedName name="T18.1?L9.6">'[4]18.1'!$C$30:$D$30,'[4]18.1'!$F$30:$G$30</definedName>
    <definedName name="T18.1?L9.6.x">'[4]18.1'!$C$32:$D$32,'[4]18.1'!$F$32:$G$32</definedName>
    <definedName name="T18.2?axis?R?ВРАС">'[4]18.2'!$C$31:$F$31,'[4]18.2'!$C$35:$F$35</definedName>
    <definedName name="T18.2?axis?R?ВРАС?">'[4]18.2'!$B$31:$B$31,'[4]18.2'!$B$35:$B$35</definedName>
    <definedName name="T18.2?axis?R?НАП">'[4]18.2'!$C$41:$F$44,'[4]18.2'!$C$15:$F$18</definedName>
    <definedName name="T18.2?axis?R?НАП?">'[4]18.2'!$B$15:$B$18,'[4]18.2'!$B$41:$B$44</definedName>
    <definedName name="T18.2?Data">'[4]18.2'!$C$49:$F$50,'[4]18.2'!$C$9:$F$12,'[4]18.2'!$C$14:$F$23,'[4]18.2'!$C$25:$F$29,'[4]18.2'!$C$31:$F$31,'[4]18.2'!$C$33:$F$33,'[4]18.2'!$C$35:$F$35,'[4]18.2'!$C$37:$F$39,'[4]18.2'!$C$41:$F$47</definedName>
    <definedName name="T18.2?item_ext?ВСЕГО">'[4]18.2'!$C$9:$C$50,'[4]18.2'!$E$9:$E$50</definedName>
    <definedName name="T18.2?item_ext?СБЫТ">'[4]18.2'!$D$9:$D$50,'[4]18.2'!$F$9:$F$50</definedName>
    <definedName name="T18?axis?R?ВРАС">'[4]18'!$C$28:$D$28,'[4]18'!$C$32:$D$32</definedName>
    <definedName name="T18?axis?R?ВРАС?">'[4]18'!$B$28:$B$28,'[4]18'!$B$32:$B$32</definedName>
    <definedName name="T18?Data">'[4]18'!$C$44:$D$44,'[4]18'!$C$46:$D$49,'[4]18'!$C$51:$D$55,'[4]18'!$C$7:$D$12,'[4]18'!$C$14:$D$19,'[4]18'!$C$21:$D$26,'[4]18'!$C$28:$D$28,'[4]18'!$C$30:$D$30,'[4]18'!$C$32:$D$32,'[4]18'!$C$34:$D$42</definedName>
    <definedName name="T19.1.1?axis?R?ВРАС">'[4]19.1.1'!$C$29:$G$29,'[4]19.1.1'!$C$33:$G$33</definedName>
    <definedName name="T19.1.1?axis?R?ВРАС?">'[4]19.1.1'!$B$29:$B$29,'[4]19.1.1'!$B$33:$B$33</definedName>
    <definedName name="T19.1.1?axis?ПРД?БАЗ">'[4]19.1.1'!$C$9:$C$44,'[4]19.1.1'!$F$9:$F$44</definedName>
    <definedName name="T19.1.1?axis?ПРД?РЕГ">'[4]19.1.1'!$D$9:$D$44,'[4]19.1.1'!$G$9:$G$44</definedName>
    <definedName name="T19.1.1?Data" localSheetId="2">P1_T19.1.1?Data,P2_T19.1.1?Data</definedName>
    <definedName name="T19.1.1?Data" localSheetId="6">P1_T19.1.1?Data,P2_T19.1.1?Data</definedName>
    <definedName name="T19.1.1?Data" localSheetId="8">P1_T19.1.1?Data,P2_T19.1.1?Data</definedName>
    <definedName name="T19.1.1?Data" localSheetId="13">P1_T19.1.1?Data,P2_T19.1.1?Data</definedName>
    <definedName name="T19.1.1?Data" localSheetId="15">P1_T19.1.1?Data,P2_T19.1.1?Data</definedName>
    <definedName name="T19.1.1?L1">'[4]19.1.1'!$C$9:$D$9,'[4]19.1.1'!$F$9:$G$9</definedName>
    <definedName name="T19.1.1?L10">'[4]19.1.1'!$C$35:$D$35,'[4]19.1.1'!$F$35:$G$35</definedName>
    <definedName name="T19.1.1?L11">'[4]19.1.1'!$C$36:$D$36,'[4]19.1.1'!$F$36:$G$36</definedName>
    <definedName name="T19.1.1?L12">'[4]19.1.1'!$C$37:$D$37,'[4]19.1.1'!$F$37:$G$37</definedName>
    <definedName name="T19.1.1?L13">'[4]19.1.1'!$C$38:$D$38,'[4]19.1.1'!$F$38:$G$38</definedName>
    <definedName name="T19.1.1?L14">'[4]19.1.1'!$C$39:$D$39,'[4]19.1.1'!$F$39:$G$39</definedName>
    <definedName name="T19.1.1?L14.1">'[4]19.1.1'!$C$41:$D$41,'[4]19.1.1'!$F$41:$G$41</definedName>
    <definedName name="T19.1.1?L15">'[4]19.1.1'!$C$42:$D$42,'[4]19.1.1'!$F$42:$G$42</definedName>
    <definedName name="T19.1.1?L15.1">'[4]19.1.1'!$C$44:$D$44,'[4]19.1.1'!$F$44:$G$44</definedName>
    <definedName name="T19.1.1?L2">'[4]19.1.1'!$C$10:$D$10,'[4]19.1.1'!$F$10:$G$10</definedName>
    <definedName name="T19.1.1?L3">'[4]19.1.1'!$C$11:$D$11,'[4]19.1.1'!$F$11:$G$11</definedName>
    <definedName name="T19.1.1?L4">'[4]19.1.1'!$C$12:$D$12,'[4]19.1.1'!$F$12:$G$12</definedName>
    <definedName name="T19.1.1?L5">'[4]19.1.1'!$C$13:$D$13,'[4]19.1.1'!$F$13:$G$13</definedName>
    <definedName name="T19.1.1?L6">'[4]19.1.1'!$C$14:$D$14,'[4]19.1.1'!$F$14:$G$14</definedName>
    <definedName name="T19.1.1?L6.1">'[4]19.1.1'!$C$16:$D$16,'[4]19.1.1'!$F$16:$G$16</definedName>
    <definedName name="T19.1.1?L6.2">'[4]19.1.1'!$C$17:$D$17,'[4]19.1.1'!$F$17:$G$17</definedName>
    <definedName name="T19.1.1?L6.3">'[4]19.1.1'!$C$18:$D$18,'[4]19.1.1'!$F$18:$G$18</definedName>
    <definedName name="T19.1.1?L7">'[4]19.1.1'!$C$19:$D$19,'[4]19.1.1'!$F$19:$G$19</definedName>
    <definedName name="T19.1.1?L8">'[4]19.1.1'!$C$20:$D$20,'[4]19.1.1'!$F$20:$G$20</definedName>
    <definedName name="T19.1.1?L9">'[4]19.1.1'!$C$21:$D$21,'[4]19.1.1'!$F$21:$G$21</definedName>
    <definedName name="T19.1.1?L9.1">'[4]19.1.1'!$C$23:$D$23,'[4]19.1.1'!$F$23:$G$23</definedName>
    <definedName name="T19.1.1?L9.2">'[4]19.1.1'!$C$24:$D$24,'[4]19.1.1'!$F$24:$G$24</definedName>
    <definedName name="T19.1.1?L9.3">'[4]19.1.1'!$C$25:$D$25,'[4]19.1.1'!$F$25:$G$25</definedName>
    <definedName name="T19.1.1?L9.4">'[4]19.1.1'!$C$26:$D$26,'[4]19.1.1'!$F$26:$G$26</definedName>
    <definedName name="T19.1.1?L9.5">'[4]19.1.1'!$C$27:$D$27,'[4]19.1.1'!$F$27:$G$27</definedName>
    <definedName name="T19.1.1?L9.5.x">'[4]19.1.1'!$C$29:$D$29,'[4]19.1.1'!$F$29:$G$29</definedName>
    <definedName name="T19.1.1?L9.6">'[4]19.1.1'!$C$31:$D$31,'[4]19.1.1'!$F$31:$G$31</definedName>
    <definedName name="T19.1.1?L9.6.x">'[4]19.1.1'!$C$33:$D$33,'[4]19.1.1'!$F$33:$G$33</definedName>
    <definedName name="T19.1.2?axis?R?ВРАС">'[4]19.1.2'!$C$29:$G$29,'[4]19.1.2'!$C$33:$G$33</definedName>
    <definedName name="T19.1.2?axis?R?ВРАС?">'[4]19.1.2'!$B$29:$B$29,'[4]19.1.2'!$B$33:$B$33</definedName>
    <definedName name="T19.1.2?axis?ПРД?БАЗ">'[4]19.1.2'!$C$9:$C$44,'[4]19.1.2'!$F$9:$F$44</definedName>
    <definedName name="T19.1.2?axis?ПРД?РЕГ">'[4]19.1.2'!$D$9:$D$44,'[4]19.1.2'!$G$9:$G$44</definedName>
    <definedName name="T19.1.2?Data" localSheetId="2">P1_T19.1.2?Data,P2_T19.1.2?Data</definedName>
    <definedName name="T19.1.2?Data" localSheetId="6">P1_T19.1.2?Data,P2_T19.1.2?Data</definedName>
    <definedName name="T19.1.2?Data" localSheetId="8">P1_T19.1.2?Data,P2_T19.1.2?Data</definedName>
    <definedName name="T19.1.2?Data" localSheetId="13">P1_T19.1.2?Data,P2_T19.1.2?Data</definedName>
    <definedName name="T19.1.2?Data" localSheetId="15">P1_T19.1.2?Data,P2_T19.1.2?Data</definedName>
    <definedName name="T19.1.2?L1">'[4]19.1.2'!$C$9:$D$9,'[4]19.1.2'!$F$9:$G$9</definedName>
    <definedName name="T19.1.2?L10">'[4]19.1.2'!$C$35:$D$35,'[4]19.1.2'!$F$35:$G$35</definedName>
    <definedName name="T19.1.2?L11">'[4]19.1.2'!$C$36:$D$36,'[4]19.1.2'!$F$36:$G$36</definedName>
    <definedName name="T19.1.2?L12">'[4]19.1.2'!$C$37:$D$37,'[4]19.1.2'!$F$37:$G$37</definedName>
    <definedName name="T19.1.2?L13">'[4]19.1.2'!$C$38:$D$38,'[4]19.1.2'!$F$38:$G$38</definedName>
    <definedName name="T19.1.2?L14">'[4]19.1.2'!$C$39:$D$39,'[4]19.1.2'!$F$39:$G$39</definedName>
    <definedName name="T19.1.2?L14.1">'[4]19.1.2'!$C$41:$D$41,'[4]19.1.2'!$F$41:$G$41</definedName>
    <definedName name="T19.1.2?L15">'[4]19.1.2'!$C$42:$D$42,'[4]19.1.2'!$F$42:$G$42</definedName>
    <definedName name="T19.1.2?L15.1">'[4]19.1.2'!$C$44:$D$44,'[4]19.1.2'!$F$44:$G$44</definedName>
    <definedName name="T19.1.2?L2">'[4]19.1.2'!$C$10:$D$10,'[4]19.1.2'!$F$10:$G$10</definedName>
    <definedName name="T19.1.2?L3">'[4]19.1.2'!$C$11:$D$11,'[4]19.1.2'!$F$11:$G$11</definedName>
    <definedName name="T19.1.2?L4">'[4]19.1.2'!$C$12:$D$12,'[4]19.1.2'!$F$12:$G$12</definedName>
    <definedName name="T19.1.2?L5">'[4]19.1.2'!$C$13:$D$13,'[4]19.1.2'!$F$13:$G$13</definedName>
    <definedName name="T19.1.2?L6">'[4]19.1.2'!$C$14:$D$14,'[4]19.1.2'!$F$14:$G$14</definedName>
    <definedName name="T19.1.2?L6.1">'[4]19.1.2'!$C$16:$D$16,'[4]19.1.2'!$F$16:$G$16</definedName>
    <definedName name="T19.1.2?L6.2">'[4]19.1.2'!$C$17:$D$17,'[4]19.1.2'!$F$17:$G$17</definedName>
    <definedName name="T19.1.2?L6.3">'[4]19.1.2'!$C$18:$D$18,'[4]19.1.2'!$F$18:$G$18</definedName>
    <definedName name="T19.1.2?L7">'[4]19.1.2'!$C$19:$D$19,'[4]19.1.2'!$F$19:$G$19</definedName>
    <definedName name="T19.1.2?L8">'[4]19.1.2'!$C$20:$D$20,'[4]19.1.2'!$F$20:$G$20</definedName>
    <definedName name="T19.1.2?L9">'[4]19.1.2'!$C$21:$D$21,'[4]19.1.2'!$F$21:$G$21</definedName>
    <definedName name="T19.1.2?L9.1">'[4]19.1.2'!$C$23:$D$23,'[4]19.1.2'!$F$23:$G$23</definedName>
    <definedName name="T19.1.2?L9.2">'[4]19.1.2'!$C$24:$D$24,'[4]19.1.2'!$F$24:$G$24</definedName>
    <definedName name="T19.1.2?L9.3">'[4]19.1.2'!$C$25:$D$25,'[4]19.1.2'!$F$25:$G$25</definedName>
    <definedName name="T19.1.2?L9.4">'[4]19.1.2'!$C$26:$D$26,'[4]19.1.2'!$F$26:$G$26</definedName>
    <definedName name="T19.1.2?L9.5">'[4]19.1.2'!$C$27:$D$27,'[4]19.1.2'!$F$27:$G$27</definedName>
    <definedName name="T19.1.2?L9.5.x">'[4]19.1.2'!$C$29:$D$29,'[4]19.1.2'!$F$29:$G$29</definedName>
    <definedName name="T19.1.2?L9.6">'[4]19.1.2'!$C$31:$D$31,'[4]19.1.2'!$F$31:$G$31</definedName>
    <definedName name="T19.1.2?L9.6.x">'[4]19.1.2'!$C$33:$D$33,'[4]19.1.2'!$F$33:$G$33</definedName>
    <definedName name="T19.2?axis?R?ВРАС">'[4]19.2'!$C$33:$K$33,'[4]19.2'!$C$37:$K$37</definedName>
    <definedName name="T19.2?axis?R?ВРАС?">'[4]19.2'!$B$33:$B$33,'[4]19.2'!$B$37:$B$37</definedName>
    <definedName name="T19.2?axis?ПРД?БАЗ">'[4]19.2'!$H$10:$I$49,'[4]19.2'!$C$10:$D$49</definedName>
    <definedName name="T19.2?axis?ПРД?РЕГ">'[4]19.2'!$E$10:$F$49,'[4]19.2'!$J$10:$K$49</definedName>
    <definedName name="T19.2?Data" localSheetId="2">P1_T19.2?Data,P2_T19.2?Data</definedName>
    <definedName name="T19.2?Data" localSheetId="6">P1_T19.2?Data,P2_T19.2?Data</definedName>
    <definedName name="T19.2?Data" localSheetId="8">P1_T19.2?Data,P2_T19.2?Data</definedName>
    <definedName name="T19.2?Data" localSheetId="13">P1_T19.2?Data,P2_T19.2?Data</definedName>
    <definedName name="T19.2?Data" localSheetId="15">P1_T19.2?Data,P2_T19.2?Data</definedName>
    <definedName name="T19.2?item_ext?СБЫТ" localSheetId="2">'[4]19.2'!$K$10:$K$46,'[4]19.2'!$D$10:$D$46,P1_T19.2?item_ext?СБЫТ</definedName>
    <definedName name="T19.2?item_ext?СБЫТ" localSheetId="6">'[4]19.2'!$K$10:$K$46,'[4]19.2'!$D$10:$D$46,P1_T19.2?item_ext?СБЫТ</definedName>
    <definedName name="T19.2?item_ext?СБЫТ" localSheetId="8">'[4]19.2'!$K$10:$K$46,'[4]19.2'!$D$10:$D$46,P1_T19.2?item_ext?СБЫТ</definedName>
    <definedName name="T19.2?item_ext?СБЫТ" localSheetId="13">'[4]19.2'!$K$10:$K$46,'[4]19.2'!$D$10:$D$46,P1_T19.2?item_ext?СБЫТ</definedName>
    <definedName name="T19.2?item_ext?СБЫТ" localSheetId="15">'[4]19.2'!$K$10:$K$46,'[4]19.2'!$D$10:$D$46,P1_T19.2?item_ext?СБЫТ</definedName>
    <definedName name="T19.2?L1">'[4]19.2'!$C$10:$F$10,'[4]19.2'!$H$10:$K$10</definedName>
    <definedName name="T19.2?L1.1">'[4]19.2'!$C$12:$F$12,'[4]19.2'!$H$12:$K$12</definedName>
    <definedName name="T19.2?L1.2">'[4]19.2'!$C$13:$F$13,'[4]19.2'!$H$13:$K$13</definedName>
    <definedName name="T19.2?L1.3">'[4]19.2'!$C$14:$F$14,'[4]19.2'!$H$14:$K$14</definedName>
    <definedName name="T19.2?L10">'[4]19.2'!$C$40:$F$40,'[4]19.2'!$H$40:$K$40</definedName>
    <definedName name="T19.2?L11">'[4]19.2'!$C$41:$F$41,'[4]19.2'!$H$41:$K$41</definedName>
    <definedName name="T19.2?L12">'[4]19.2'!$C$42:$F$42,'[4]19.2'!$H$42:$K$42</definedName>
    <definedName name="T19.2?L13">'[4]19.2'!$C$43:$F$43,'[4]19.2'!$H$43:$K$43</definedName>
    <definedName name="T19.2?L14">'[4]19.2'!$C$44:$F$44,'[4]19.2'!$H$44:$K$44</definedName>
    <definedName name="T19.2?L14.1">'[4]19.2'!$C$46:$F$46,'[4]19.2'!$H$46:$K$46</definedName>
    <definedName name="T19.2?L2">'[4]19.2'!$C$15:$F$15,'[4]19.2'!$H$15:$K$15</definedName>
    <definedName name="T19.2?L3">'[4]19.2'!$C$16:$F$16,'[4]19.2'!$H$16:$K$16</definedName>
    <definedName name="T19.2?L4">'[4]19.2'!$C$17:$F$17,'[4]19.2'!$H$17:$K$17</definedName>
    <definedName name="T19.2?L5">'[4]19.2'!$C$18:$F$18,'[4]19.2'!$H$18:$K$18</definedName>
    <definedName name="T19.2?L5.1">'[4]19.2'!$C$20:$F$20,'[4]19.2'!$H$20:$K$20</definedName>
    <definedName name="T19.2?L5.2">'[4]19.2'!$C$21:$F$21,'[4]19.2'!$H$21:$K$21</definedName>
    <definedName name="T19.2?L5.3">'[4]19.2'!$C$22:$F$22,'[4]19.2'!$H$22:$K$22</definedName>
    <definedName name="T19.2?L6">'[4]19.2'!$C$23:$F$23,'[4]19.2'!$H$23:$K$23</definedName>
    <definedName name="T19.2?L7">'[4]19.2'!$C$24:$F$24,'[4]19.2'!$H$24:$K$24</definedName>
    <definedName name="T19.2?L8">'[4]19.2'!$C$25:$F$25,'[4]19.2'!$H$25:$K$25</definedName>
    <definedName name="T19.2?L8.1">'[4]19.2'!$C$27:$F$27,'[4]19.2'!$H$27:$K$27</definedName>
    <definedName name="T19.2?L8.2">'[4]19.2'!$C$28:$F$28,'[4]19.2'!$H$28:$K$28</definedName>
    <definedName name="T19.2?L8.3">'[4]19.2'!$C$29:$F$29,'[4]19.2'!$H$29:$K$29</definedName>
    <definedName name="T19.2?L8.4">'[4]19.2'!$C$30:$F$30,'[4]19.2'!$H$30:$K$30</definedName>
    <definedName name="T19.2?L8.5">'[4]19.2'!$C$31:$F$31,'[4]19.2'!$H$31:$K$31</definedName>
    <definedName name="T19.2?L8.5.x">'[4]19.2'!$C$33:$F$33,'[4]19.2'!$H$33:$K$33</definedName>
    <definedName name="T19.2?L8.6">'[4]19.2'!$C$35:$F$35,'[4]19.2'!$H$35:$K$35</definedName>
    <definedName name="T19.2?L8.6.x">'[4]19.2'!$C$37:$F$37,'[4]19.2'!$H$37:$K$37</definedName>
    <definedName name="T19.2?L9">'[4]19.2'!$C$39:$F$39,'[4]19.2'!$H$39:$K$39</definedName>
    <definedName name="T19.2?unit?ТРУБ">'[4]19.2'!$C$44:$K$49,'[4]19.2'!$C$10:$K$41</definedName>
    <definedName name="T19?axis?R?ВРАС">'[4]19'!$C$27:$D$27,'[4]19'!$C$31:$D$31</definedName>
    <definedName name="T19?axis?R?ВРАС?">'[4]19'!$B$27:$B$27,'[4]19'!$B$31:$B$31</definedName>
    <definedName name="T19?Data">'[4]19'!$C$42:$D$42,'[4]19'!$C$44:$D$46,'[4]19'!$C$48:$D$50,'[4]19'!$C$7:$D$12,'[4]19'!$C$14:$D$19,'[4]19'!$C$21:$D$25,'[4]19'!$C$27:$D$27,'[4]19'!$C$29:$D$29,'[4]19'!$C$31:$D$31,'[4]19'!$C$33:$D$40</definedName>
    <definedName name="T2.1?axis?R?ПЭ">'[4]2.1'!$C$13:$D$13,'[4]2.1'!$C$27:$D$27,'[4]2.1'!$C$31:$D$31,'[4]2.1'!$C$38:$D$38,'[4]2.1'!$C$42:$D$42,'[4]2.1'!$C$9:$D$9</definedName>
    <definedName name="T2.1?axis?R?ПЭ?">'[4]2.1'!$B$13:$B$13,'[4]2.1'!$B$27:$B$27,'[4]2.1'!$B$31:$B$31,'[4]2.1'!$B$38:$B$38,'[4]2.1'!$B$42:$B$42,'[4]2.1'!$B$9:$B$9</definedName>
    <definedName name="T2.1?Data" localSheetId="2">'[4]2.1'!$C$6:$D$7,'[4]2.1'!$C$33:$D$36,P1_T2.1?Data</definedName>
    <definedName name="T2.1?Data" localSheetId="6">'[4]2.1'!$C$6:$D$7,'[4]2.1'!$C$33:$D$36,P1_T2.1?Data</definedName>
    <definedName name="T2.1?Data" localSheetId="8">'[4]2.1'!$C$6:$D$7,'[4]2.1'!$C$33:$D$36,P1_T2.1?Data</definedName>
    <definedName name="T2.1?Data" localSheetId="13">'[4]2.1'!$C$6:$D$7,'[4]2.1'!$C$33:$D$36,P1_T2.1?Data</definedName>
    <definedName name="T2.1?Data" localSheetId="15">'[4]2.1'!$C$6:$D$7,'[4]2.1'!$C$33:$D$36,P1_T2.1?Data</definedName>
    <definedName name="T2.1?unit?МКВТЧ">'[4]2.1'!$C$20:$D$20,'[4]2.1'!$C$22:$D$22,'[4]2.1'!$C$24:$D$45,'[4]2.1'!$C$6:$D$18</definedName>
    <definedName name="T2.1?unit?ПРЦ">'[4]2.1'!$C$23:$D$23,'[4]2.1'!$C$19:$D$19</definedName>
    <definedName name="T2.2?Data">'[4]2.2'!$C$10:$D$16,'[4]2.2'!$C$18:$D$21,'[4]2.2'!$C$23:$D$25,'[4]2.2'!$C$6:$D$8</definedName>
    <definedName name="T2.2?unit?МКВТЧ">'[4]2.2'!$C$6:$D$16,'[4]2.2'!$C$18:$D$21,'[4]2.2'!$C$23:$D$25</definedName>
    <definedName name="T20.1?axis?R?ИФИН">'[4]20.1'!$F$10:$F$10,'[4]20.1'!$F$21:$F$21,'[4]20.1'!$F$33:$F$33,'[4]20.1'!$F$45:$F$45,'[4]20.1'!$F$56:$F$56</definedName>
    <definedName name="T20.1?axis?R?ИФИН?">'[4]20.1'!$G$10:$G$10,'[4]20.1'!$G$21:$G$21,'[4]20.1'!$G$33:$G$33,'[4]20.1'!$G$45:$G$45,'[4]20.1'!$G$56:$G$56</definedName>
    <definedName name="T20.1?axis?R?СТРО">'[4]20.1'!$B$10:$F$10,'[4]20.1'!$B$21:$F$21,'[4]20.1'!$B$33:$F$33,'[4]20.1'!$B$45:$F$45,'[4]20.1'!$B$56:$F$56</definedName>
    <definedName name="T20.1?axis?R?СТРО?">'[4]20.1'!$A$56:$A$56,'[4]20.1'!$A$45:$A$45,'[4]20.1'!$A$33:$A$33,'[4]20.1'!$A$21:$A$21,'[4]20.1'!$A$10:$A$10</definedName>
    <definedName name="T20.1?Data">'[4]20.1'!$B$23:$F$23,'[4]20.1'!$B$35:$F$35,'[4]20.1'!$B$47:$F$47,'[4]20.1'!$B$58:$F$58,'[4]20.1'!$B$12:$F$12,'[4]20.1'!$B$10:$G$10,'[4]20.1'!$B$33:$G$33,'[4]20.1'!$B$45:$G$45,'[4]20.1'!$B$56:$G$56,'[4]20.1'!$B$21:$G$21</definedName>
    <definedName name="T20.1?L2">'[4]20.1'!$B$21:$B$21,'[4]20.1'!$B$23,'[4]20.1'!$B$33:$B$33,'[4]20.1'!$B$35,'[4]20.1'!$B$45:$B$45,'[4]20.1'!$B$47,'[4]20.1'!$B$56:$B$56,'[4]20.1'!$B$58,'[4]20.1'!$B$10:$B$10,'[4]20.1'!$B$12</definedName>
    <definedName name="T20.1?L3">'[4]20.1'!$C$21:$C$21,'[4]20.1'!$C$23,'[4]20.1'!$C$33:$C$33,'[4]20.1'!$C$35,'[4]20.1'!$C$45:$C$45,'[4]20.1'!$C$47,'[4]20.1'!$C$56:$C$56,'[4]20.1'!$C$58,'[4]20.1'!$C$10:$C$10,'[4]20.1'!$C$12</definedName>
    <definedName name="T20.1?L4">'[4]20.1'!$D$21:$D$21,'[4]20.1'!$D$23,'[4]20.1'!$D$33:$D$33,'[4]20.1'!$D$35,'[4]20.1'!$D$45:$D$45,'[4]20.1'!$D$47,'[4]20.1'!$D$56:$D$56,'[4]20.1'!$D$58,'[4]20.1'!$D$10:$D$10,'[4]20.1'!$D$12</definedName>
    <definedName name="T20.1?L5">'[4]20.1'!$E$21:$E$21,'[4]20.1'!$E$23,'[4]20.1'!$E$33:$E$33,'[4]20.1'!$E$35,'[4]20.1'!$E$45:$E$45,'[4]20.1'!$E$47,'[4]20.1'!$E$56:$E$56,'[4]20.1'!$E$58,'[4]20.1'!$E$10:$E$10,'[4]20.1'!$E$12</definedName>
    <definedName name="T20.1?L6">'[4]20.1'!$F$21:$F$21,'[4]20.1'!$F$23,'[4]20.1'!$F$33:$F$33,'[4]20.1'!$F$35,'[4]20.1'!$F$45:$F$45,'[4]20.1'!$F$47,'[4]20.1'!$F$56:$F$56,'[4]20.1'!$F$58,'[4]20.1'!$F$10:$F$10,'[4]20.1'!$F$12</definedName>
    <definedName name="T20?axis?ПРД?БАЗ">'[4]20'!$E$7:$E$26,'[4]20'!$I$7:$I$26,'[4]20'!$K$7:$K$26,'[4]20'!$G$7:$G$26,'[4]20'!$C$7:$C$26</definedName>
    <definedName name="T20?axis?ПРД?РЕГ">'[4]20'!$F$7:$F$26,'[4]20'!$J$7:$J$26,'[4]20'!$L$7:$L$26,'[4]20'!$H$7:$H$26,'[4]20'!$D$7:$D$26</definedName>
    <definedName name="T20?Data">'[4]20'!$C$7:$L$7,'[4]20'!$C$9:$L$11,'[4]20'!$C$13:$L$26</definedName>
    <definedName name="T21.1?axis?R?ВРАС">'[4]21.1'!$C$32:$G$32,'[4]21.1'!$C$22:$G$22</definedName>
    <definedName name="T21.1?axis?R?ВРАС?">'[4]21.1'!$B$32:$B$32,'[4]21.1'!$B$22:$B$22</definedName>
    <definedName name="T21.1?axis?ПРД?БАЗ">'[4]21.1'!$C$8:$C$34,'[4]21.1'!$F$8:$F$34</definedName>
    <definedName name="T21.1?axis?ПРД?РЕГ">'[4]21.1'!$G$8:$G$34,'[4]21.1'!$D$8:$D$34</definedName>
    <definedName name="T21.1?Data" localSheetId="2">'[4]21.1'!$C$18:$D$20,'[4]21.1'!$F$22:$G$22,'[4]21.1'!$C$22:$D$22,'[4]21.1'!$F$24:$G$25,'[4]21.1'!$C$24:$D$25,'[4]21.1'!$F$27:$G$30,'[4]21.1'!$C$27:$D$30,'[4]21.1'!$F$32:$G$32,P1_T21.1?Data</definedName>
    <definedName name="T21.1?Data" localSheetId="6">'[4]21.1'!$C$18:$D$20,'[4]21.1'!$F$22:$G$22,'[4]21.1'!$C$22:$D$22,'[4]21.1'!$F$24:$G$25,'[4]21.1'!$C$24:$D$25,'[4]21.1'!$F$27:$G$30,'[4]21.1'!$C$27:$D$30,'[4]21.1'!$F$32:$G$32,P1_T21.1?Data</definedName>
    <definedName name="T21.1?Data" localSheetId="8">'[4]21.1'!$C$18:$D$20,'[4]21.1'!$F$22:$G$22,'[4]21.1'!$C$22:$D$22,'[4]21.1'!$F$24:$G$25,'[4]21.1'!$C$24:$D$25,'[4]21.1'!$F$27:$G$30,'[4]21.1'!$C$27:$D$30,'[4]21.1'!$F$32:$G$32,P1_T21.1?Data</definedName>
    <definedName name="T21.1?Data" localSheetId="13">'[4]21.1'!$C$18:$D$20,'[4]21.1'!$F$22:$G$22,'[4]21.1'!$C$22:$D$22,'[4]21.1'!$F$24:$G$25,'[4]21.1'!$C$24:$D$25,'[4]21.1'!$F$27:$G$30,'[4]21.1'!$C$27:$D$30,'[4]21.1'!$F$32:$G$32,P1_T21.1?Data</definedName>
    <definedName name="T21.1?Data" localSheetId="15">'[4]21.1'!$C$18:$D$20,'[4]21.1'!$F$22:$G$22,'[4]21.1'!$C$22:$D$22,'[4]21.1'!$F$24:$G$25,'[4]21.1'!$C$24:$D$25,'[4]21.1'!$F$27:$G$30,'[4]21.1'!$C$27:$D$30,'[4]21.1'!$F$32:$G$32,P1_T21.1?Data</definedName>
    <definedName name="T21.1?L1">'[4]21.1'!$F$8:$G$8,'[4]21.1'!$C$8:$D$8</definedName>
    <definedName name="T21.1?L1.1">'[4]21.1'!$F$10:$G$10,'[4]21.1'!$C$10:$D$10</definedName>
    <definedName name="T21.1?L2">'[4]21.1'!$F$11:$G$11,'[4]21.1'!$C$11:$D$11</definedName>
    <definedName name="T21.1?L2.1">'[4]21.1'!$F$13:$G$13,'[4]21.1'!$C$13:$D$13</definedName>
    <definedName name="T21.1?L3">'[4]21.1'!$F$14:$G$14,'[4]21.1'!$C$14:$D$14</definedName>
    <definedName name="T21.1?L4">'[4]21.1'!$F$15:$G$15,'[4]21.1'!$C$15:$D$15</definedName>
    <definedName name="T21.1?L5">'[4]21.1'!$F$16:$G$16,'[4]21.1'!$C$16:$D$16</definedName>
    <definedName name="T21.1?L5.1">'[4]21.1'!$F$18:$G$18,'[4]21.1'!$C$18:$D$18</definedName>
    <definedName name="T21.1?L5.2">'[4]21.1'!$F$19:$G$19,'[4]21.1'!$C$19:$D$19</definedName>
    <definedName name="T21.1?L5.3">'[4]21.1'!$F$20:$G$20,'[4]21.1'!$C$20:$D$20</definedName>
    <definedName name="T21.1?L5.3.x">'[4]21.1'!$F$22:$G$22,'[4]21.1'!$C$22:$D$22</definedName>
    <definedName name="T21.1?L6">'[4]21.1'!$F$24:$G$24,'[4]21.1'!$C$24:$D$24</definedName>
    <definedName name="T21.1?L7">'[4]21.1'!$F$25:$G$25,'[4]21.1'!$C$25:$D$25</definedName>
    <definedName name="T21.1?L7.1">'[4]21.1'!$F$27:$G$27,'[4]21.1'!$C$27:$D$27</definedName>
    <definedName name="T21.1?L7.2">'[4]21.1'!$F$28:$G$28,'[4]21.1'!$C$28:$D$28</definedName>
    <definedName name="T21.1?L7.3">'[4]21.1'!$F$29:$G$29,'[4]21.1'!$C$29:$D$29</definedName>
    <definedName name="T21.1?L7.4">'[4]21.1'!$F$30:$G$30,'[4]21.1'!$C$30:$D$30</definedName>
    <definedName name="T21.1?L7.4.x">'[4]21.1'!$F$32:$G$32,'[4]21.1'!$C$32:$D$32</definedName>
    <definedName name="T21.1?L8">'[4]21.1'!$F$34:$G$34,'[4]21.1'!$C$34:$D$34</definedName>
    <definedName name="T21.2.1?axis?R?ВРАС">'[4]21.2.1'!$C$33:$G$33,'[4]21.2.1'!$C$23:$G$23</definedName>
    <definedName name="T21.2.1?axis?R?ВРАС?">'[4]21.2.1'!$B$33:$B$33,'[4]21.2.1'!$B$23:$B$23</definedName>
    <definedName name="T21.2.1?axis?ПРД?БАЗ">'[4]21.2.1'!$F$9:$F$35,'[4]21.2.1'!$C$9:$C$35</definedName>
    <definedName name="T21.2.1?axis?ПРД?РЕГ">'[4]21.2.1'!$D$9:$D$35,'[4]21.2.1'!$G$9:$G$35</definedName>
    <definedName name="T21.2.1?Data" localSheetId="2">P1_T21.2.1?Data,P2_T21.2.1?Data</definedName>
    <definedName name="T21.2.1?Data" localSheetId="6">P1_T21.2.1?Data,P2_T21.2.1?Data</definedName>
    <definedName name="T21.2.1?Data" localSheetId="8">P1_T21.2.1?Data,P2_T21.2.1?Data</definedName>
    <definedName name="T21.2.1?Data" localSheetId="13">P1_T21.2.1?Data,P2_T21.2.1?Data</definedName>
    <definedName name="T21.2.1?Data" localSheetId="15">P1_T21.2.1?Data,P2_T21.2.1?Data</definedName>
    <definedName name="T21.2.1?L1">'[4]21.2.1'!$F$9:$G$9,'[4]21.2.1'!$C$9:$D$9</definedName>
    <definedName name="T21.2.1?L1.1">'[4]21.2.1'!$F$11:$G$11,'[4]21.2.1'!$C$11:$D$11</definedName>
    <definedName name="T21.2.1?L2">'[4]21.2.1'!$F$12:$G$12,'[4]21.2.1'!$C$12:$D$12</definedName>
    <definedName name="T21.2.1?L2.1">'[4]21.2.1'!$F$14:$G$14,'[4]21.2.1'!$C$14:$D$14</definedName>
    <definedName name="T21.2.1?L3">'[4]21.2.1'!$F$15:$G$15,'[4]21.2.1'!$C$15:$D$15</definedName>
    <definedName name="T21.2.1?L4">'[4]21.2.1'!$F$16:$G$16,'[4]21.2.1'!$C$16:$D$16</definedName>
    <definedName name="T21.2.1?L5">'[4]21.2.1'!$F$17:$G$17,'[4]21.2.1'!$C$17:$D$17</definedName>
    <definedName name="T21.2.1?L5.1">'[4]21.2.1'!$F$19:$G$19,'[4]21.2.1'!$C$19:$D$19</definedName>
    <definedName name="T21.2.1?L5.2">'[4]21.2.1'!$F$20:$G$20,'[4]21.2.1'!$C$20:$D$20</definedName>
    <definedName name="T21.2.1?L5.3">'[4]21.2.1'!$F$21:$G$21,'[4]21.2.1'!$C$21:$D$21</definedName>
    <definedName name="T21.2.1?L5.3.x">'[4]21.2.1'!$F$23:$G$23,'[4]21.2.1'!$C$23:$D$23</definedName>
    <definedName name="T21.2.1?L6">'[4]21.2.1'!$F$25:$G$25,'[4]21.2.1'!$C$25:$D$25</definedName>
    <definedName name="T21.2.1?L7">'[4]21.2.1'!$F$26:$G$26,'[4]21.2.1'!$C$26:$D$26</definedName>
    <definedName name="T21.2.1?L7.1">'[4]21.2.1'!$F$28:$G$28,'[4]21.2.1'!$C$28:$D$28</definedName>
    <definedName name="T21.2.1?L7.2">'[4]21.2.1'!$F$29:$G$29,'[4]21.2.1'!$C$29:$D$29</definedName>
    <definedName name="T21.2.1?L7.3">'[4]21.2.1'!$F$30:$G$30,'[4]21.2.1'!$C$30:$D$30</definedName>
    <definedName name="T21.2.1?L7.4">'[4]21.2.1'!$F$31:$G$31,'[4]21.2.1'!$C$31:$D$31</definedName>
    <definedName name="T21.2.1?L7.4.x">'[4]21.2.1'!$F$33:$G$33,'[4]21.2.1'!$C$33:$D$33</definedName>
    <definedName name="T21.2.1?L8">'[4]21.2.1'!$F$35:$G$35,'[4]21.2.1'!$C$35:$D$35</definedName>
    <definedName name="T21.2.2?axis?R?ВРАС">'[4]21.2.2'!$C$33:$H$33,'[4]21.2.2'!$C$23:$H$23</definedName>
    <definedName name="T21.2.2?axis?R?ВРАС?">'[4]21.2.2'!$B$33:$B$33,'[4]21.2.2'!$B$23:$B$23</definedName>
    <definedName name="T21.2.2?axis?ПРД?БАЗ">'[4]21.2.2'!$F$9:$F$36,'[4]21.2.2'!$C$9:$C$35</definedName>
    <definedName name="T21.2.2?axis?ПРД?РЕГ">'[4]21.2.2'!$G$9:$G$35,'[4]21.2.2'!$D$9:$D$35</definedName>
    <definedName name="T21.2.2?Data" localSheetId="2">P1_T21.2.2?Data,P2_T21.2.2?Data</definedName>
    <definedName name="T21.2.2?Data" localSheetId="6">P1_T21.2.2?Data,P2_T21.2.2?Data</definedName>
    <definedName name="T21.2.2?Data" localSheetId="8">P1_T21.2.2?Data,P2_T21.2.2?Data</definedName>
    <definedName name="T21.2.2?Data" localSheetId="13">P1_T21.2.2?Data,P2_T21.2.2?Data</definedName>
    <definedName name="T21.2.2?Data" localSheetId="15">P1_T21.2.2?Data,P2_T21.2.2?Data</definedName>
    <definedName name="T21.2.2?L1">'[4]21.2.2'!$F$9:$G$9,'[4]21.2.2'!$C$9:$D$9</definedName>
    <definedName name="T21.2.2?L1.1">'[4]21.2.2'!$F$11:$G$11,'[4]21.2.2'!$C$11:$D$11</definedName>
    <definedName name="T21.2.2?L2">'[4]21.2.2'!$F$12:$G$12,'[4]21.2.2'!$C$12:$D$12</definedName>
    <definedName name="T21.2.2?L2.1">'[4]21.2.2'!$F$14:$G$14,'[4]21.2.2'!$C$14:$D$14</definedName>
    <definedName name="T21.2.2?L3">'[4]21.2.2'!$F$15:$G$15,'[4]21.2.2'!$C$15:$D$15</definedName>
    <definedName name="T21.2.2?L4">'[4]21.2.2'!$F$16:$G$16,'[4]21.2.2'!$C$16:$D$16</definedName>
    <definedName name="T21.2.2?L5">'[4]21.2.2'!$F$17:$G$17,'[4]21.2.2'!$C$17:$D$17</definedName>
    <definedName name="T21.2.2?L5.1">'[4]21.2.2'!$F$19:$G$19,'[4]21.2.2'!$C$19:$D$19</definedName>
    <definedName name="T21.2.2?L5.2">'[4]21.2.2'!$F$20:$G$20,'[4]21.2.2'!$C$20:$D$20</definedName>
    <definedName name="T21.2.2?L5.3">'[4]21.2.2'!$F$21:$G$21,'[4]21.2.2'!$C$21:$D$21</definedName>
    <definedName name="T21.2.2?L5.3.x">'[4]21.2.2'!$F$23:$G$23,'[4]21.2.2'!$C$23:$D$23</definedName>
    <definedName name="T21.2.2?L6">'[4]21.2.2'!$F$25:$G$25,'[4]21.2.2'!$C$25:$D$25</definedName>
    <definedName name="T21.2.2?L7">'[4]21.2.2'!$F$26:$G$26,'[4]21.2.2'!$C$26:$D$26</definedName>
    <definedName name="T21.2.2?L7.1">'[4]21.2.2'!$F$28:$G$28,'[4]21.2.2'!$C$28:$D$28</definedName>
    <definedName name="T21.2.2?L7.2">'[4]21.2.2'!$F$29:$G$29,'[4]21.2.2'!$C$29:$D$29</definedName>
    <definedName name="T21.2.2?L7.3">'[4]21.2.2'!$F$30:$G$30,'[4]21.2.2'!$C$30:$D$30</definedName>
    <definedName name="T21.2.2?L7.4">'[4]21.2.2'!$F$31:$G$31,'[4]21.2.2'!$C$31:$D$31</definedName>
    <definedName name="T21.2.2?L7.4.x">'[4]21.2.2'!$F$33:$G$33,'[4]21.2.2'!$C$33:$D$33</definedName>
    <definedName name="T21.2.2?L8">'[4]21.2.2'!$F$35:$G$35,'[4]21.2.2'!$C$35:$D$35</definedName>
    <definedName name="T21.3?axis?R?ВРАС">'[4]21.3'!$C$28:$F$28,'[4]21.3'!$C$46:$F$46</definedName>
    <definedName name="T21.3?axis?R?ВРАС?">'[4]21.3'!$B$28:$B$28,'[4]21.3'!$B$46:$B$46</definedName>
    <definedName name="T21.3?axis?R?НАП">'[4]21.3'!$C$13:$F$16,'[4]21.3'!$C$34:$F$37,'[4]21.3'!$C$39:$F$42,'[4]21.3'!$C$50:$F$53</definedName>
    <definedName name="T21.3?axis?R?НАП?">'[4]21.3'!$B$13:$B$16,'[4]21.3'!$B$34:$B$37,'[4]21.3'!$B$39:$B$42,'[4]21.3'!$B$50:$B$53</definedName>
    <definedName name="T21.3?Data">'[4]21.3'!$C$12:$F$17,'[4]21.3'!$C$19:$F$22,'[4]21.3'!$C$24:$F$26,'[4]21.3'!$C$28:$F$28,'[4]21.3'!$C$30:$F$31,'[4]21.3'!$C$33:$F$44,'[4]21.3'!$C$46:$F$46,'[4]21.3'!$C$48:$F$48,'[4]21.3'!$C$50:$F$53,'[4]21.3'!$C$10:$F$10</definedName>
    <definedName name="T21.3?item_ext?ВСЕГО">'[4]21.3'!$C$10:$C$53,'[4]21.3'!$E$10:$E$53</definedName>
    <definedName name="T21.3?item_ext?СБЫТ">'[4]21.3'!$D$10:$D$53,'[4]21.3'!$F$10:$F$53</definedName>
    <definedName name="T21.4?axis?R?ВРАС">'[4]21.4'!$C$25:$G$25,'[4]21.4'!$C$35:$G$35</definedName>
    <definedName name="T21.4?axis?R?ВРАС?">'[4]21.4'!$B$25:$B$25,'[4]21.4'!$B$35:$B$35</definedName>
    <definedName name="T21.4?axis?ПРД?БАЗ">'[4]21.4'!$F$11:$F$40,'[4]21.4'!$C$11:$C$40</definedName>
    <definedName name="T21.4?axis?ПРД?РЕГ">'[4]21.4'!$G$11:$G$40,'[4]21.4'!$D$11:$D$40</definedName>
    <definedName name="T21.4?Data" localSheetId="2">P1_T21.4?Data,P2_T21.4?Data</definedName>
    <definedName name="T21.4?Data" localSheetId="6">P1_T21.4?Data,P2_T21.4?Data</definedName>
    <definedName name="T21.4?Data" localSheetId="8">P1_T21.4?Data,P2_T21.4?Data</definedName>
    <definedName name="T21.4?Data" localSheetId="13">P1_T21.4?Data,P2_T21.4?Data</definedName>
    <definedName name="T21.4?Data" localSheetId="15">P1_T21.4?Data,P2_T21.4?Data</definedName>
    <definedName name="T21.4?L1">'[4]21.4'!$F$11:$G$11,'[4]21.4'!$C$11:$D$11</definedName>
    <definedName name="T21.4?L1.1">'[4]21.4'!$F$13:$G$13,'[4]21.4'!$C$13:$D$13</definedName>
    <definedName name="T21.4?L2">'[4]21.4'!$F$14:$G$14,'[4]21.4'!$C$14:$D$14</definedName>
    <definedName name="T21.4?L2.1">'[4]21.4'!$F$16:$G$16,'[4]21.4'!$C$16:$D$16</definedName>
    <definedName name="T21.4?L3">'[4]21.4'!$F$17:$G$17,'[4]21.4'!$C$17:$D$17</definedName>
    <definedName name="T21.4?L4">'[4]21.4'!$F$18:$G$18,'[4]21.4'!$C$18:$D$18</definedName>
    <definedName name="T21.4?L5">'[4]21.4'!$F$19:$G$19,'[4]21.4'!$C$19:$D$19</definedName>
    <definedName name="T21.4?L5.1">'[4]21.4'!$F$21:$G$21,'[4]21.4'!$C$21:$D$21</definedName>
    <definedName name="T21.4?L5.2">'[4]21.4'!$F$22:$G$22,'[4]21.4'!$C$22:$D$22</definedName>
    <definedName name="T21.4?L5.3">'[4]21.4'!$F$23:$G$23,'[4]21.4'!$C$23:$D$23</definedName>
    <definedName name="T21.4?L5.3.x">'[4]21.4'!$F$25:$G$25,'[4]21.4'!$C$25:$D$25</definedName>
    <definedName name="T21.4?L6">'[4]21.4'!$F$27:$G$27,'[4]21.4'!$C$27:$D$27</definedName>
    <definedName name="T21.4?L7">'[4]21.4'!$F$28:$G$28,'[4]21.4'!$C$28:$D$28</definedName>
    <definedName name="T21.4?L7.1">'[4]21.4'!$F$30:$G$30,'[4]21.4'!$C$30:$D$30</definedName>
    <definedName name="T21.4?L7.2">'[4]21.4'!$F$31:$G$31,'[4]21.4'!$C$31:$D$31</definedName>
    <definedName name="T21.4?L7.3">'[4]21.4'!$F$32:$G$32,'[4]21.4'!$C$32:$D$32</definedName>
    <definedName name="T21.4?L7.4">'[4]21.4'!$F$33:$G$33,'[4]21.4'!$C$33:$D$33</definedName>
    <definedName name="T21.4?L7.4.x">'[4]21.4'!$F$35:$G$35,'[4]21.4'!$C$35:$D$35</definedName>
    <definedName name="T21.4?L8">'[4]21.4'!$F$37:$G$37,'[4]21.4'!$C$37:$D$37</definedName>
    <definedName name="T21.4?L8.1">'[4]21.4'!$F$39:$G$39,'[4]21.4'!$C$39:$D$39</definedName>
    <definedName name="T21.4?L8.2">'[4]21.4'!$F$40:$G$40,'[4]21.4'!$C$40:$D$40</definedName>
    <definedName name="T21?axis?R?ВРАС">'[4]21'!$C$20:$D$20,'[4]21'!$C$30:$D$30</definedName>
    <definedName name="T21?axis?R?ВРАС?">'[4]21'!$B$20:$B$20,'[4]21'!$B$30:$B$30</definedName>
    <definedName name="T21?Data">'[4]21'!$C$8:$D$9,'[4]21'!$C$11:$D$14,'[4]21'!$C$16:$D$18,'[4]21'!$C$20:$D$20,'[4]21'!$C$22:$D$23,'[4]21'!$C$25:$D$28,'[4]21'!$C$30:$D$30,'[4]21'!$C$32:$D$32,'[4]21'!$C$34:$D$37,'[4]21'!$C$6:$D$6</definedName>
    <definedName name="T22?axis?C?СЦТ">'[4]22'!$H$7:$H$147,'[4]22'!$J$7:$J$147</definedName>
    <definedName name="T22?axis?C?СЦТ?">'[4]22'!$H$5:$H$5,'[4]22'!$J$5</definedName>
    <definedName name="T22?Data">'[4]22'!$H$7:$H$147,'[4]22'!$J$7:$K$147,'[4]22'!$E$7:$F$147</definedName>
    <definedName name="T22?L1">'[4]22'!$E$7:$F$7,'[4]22'!$H$7:$H$7,'[4]22'!$J$7:$K$7</definedName>
    <definedName name="T22?L1.1">'[4]22'!$E$8:$F$8,'[4]22'!$H$8:$H$8,'[4]22'!$J$8:$K$8</definedName>
    <definedName name="T22?L1.1.x">'[4]22'!$E$10:$F$10,'[4]22'!$H$10:$H$10,'[4]22'!$J$10:$K$10</definedName>
    <definedName name="T22?L1.2">'[4]22'!$K$12,'[4]22'!$E$12:$F$12</definedName>
    <definedName name="T22?L1.3">'[4]22'!$K$13,'[4]22'!$E$13:$F$13</definedName>
    <definedName name="T22?L1.4">'[4]22'!$K$14,'[4]22'!$E$14:$F$14</definedName>
    <definedName name="T22?L1.4.x">'[4]22'!$K$16:$K$16,'[4]22'!$E$16:$F$16</definedName>
    <definedName name="T22?L2">'[4]22'!$E$20:$F$20,'[4]22'!$H$20:$H$20,'[4]22'!$J$20:$K$20</definedName>
    <definedName name="T22?L2.1">'[4]22'!$E$21:$F$21,'[4]22'!$H$21:$H$21,'[4]22'!$J$21:$K$21</definedName>
    <definedName name="T22?L2.1.x">'[4]22'!$E$23:$F$23,'[4]22'!$H$23:$H$23,'[4]22'!$J$23:$K$23</definedName>
    <definedName name="T22?L2.2">'[4]22'!$K$25,'[4]22'!$E$25:$F$25</definedName>
    <definedName name="T22?L2.3">'[4]22'!$K$26,'[4]22'!$E$26:$F$26</definedName>
    <definedName name="T22?L2.4">'[4]22'!$K$27,'[4]22'!$E$27:$F$27</definedName>
    <definedName name="T22?L2.4.x">'[4]22'!$K$29:$K$29,'[4]22'!$E$29:$F$29</definedName>
    <definedName name="T22?L3">'[4]22'!$E$33:$F$33,'[4]22'!$H$33:$H$33,'[4]22'!$J$33:$K$33</definedName>
    <definedName name="T22?L3.1">'[4]22'!$E$34:$F$34,'[4]22'!$H$34:$H$34,'[4]22'!$J$34:$K$34</definedName>
    <definedName name="T22?L3.1.x">'[4]22'!$E$36:$F$36,'[4]22'!$H$36:$H$36,'[4]22'!$J$36:$K$36</definedName>
    <definedName name="T22?L3.2">'[4]22'!$K$38,'[4]22'!$E$38:$F$38</definedName>
    <definedName name="T22?L3.3">'[4]22'!$K$39,'[4]22'!$E$39:$F$39</definedName>
    <definedName name="T22?L3.4">'[4]22'!$E$40:$F$40,'[4]22'!$K$40</definedName>
    <definedName name="T22?L3.4.x">'[4]22'!$K$42:$K$42,'[4]22'!$E$42:$F$42</definedName>
    <definedName name="T22?L4">'[4]22'!$E$46:$F$46,'[4]22'!$H$46:$H$46,'[4]22'!$J$46:$K$46</definedName>
    <definedName name="T22?L4.1">'[4]22'!$E$47:$F$47,'[4]22'!$H$47:$H$47,'[4]22'!$J$47:$K$47</definedName>
    <definedName name="T22?L4.1.x">'[4]22'!$E$49:$F$49,'[4]22'!$H$49:$H$49,'[4]22'!$J$49:$K$49</definedName>
    <definedName name="T22?L4.2">'[4]22'!$K$51,'[4]22'!$E$51:$F$51</definedName>
    <definedName name="T22?L4.3">'[4]22'!$K$52,'[4]22'!$E$52:$F$52</definedName>
    <definedName name="T22?L4.4">'[4]22'!$K$53,'[4]22'!$E$53:$F$53</definedName>
    <definedName name="T22?L4.4.x">'[4]22'!$K$55:$K$55,'[4]22'!$E$55:$F$55</definedName>
    <definedName name="T22?L5.1">'[4]22'!$E$60:$F$60,'[4]22'!$H$60:$H$60,'[4]22'!$J$60:$K$60</definedName>
    <definedName name="T22?L5.1.x">'[4]22'!$E$62:$F$62,'[4]22'!$H$62:$H$62,'[4]22'!$J$62:$K$62</definedName>
    <definedName name="T22?L5.2">'[4]22'!$K$64,'[4]22'!$E$64:$F$64</definedName>
    <definedName name="T22?L5.3">'[4]22'!$K$65,'[4]22'!$E$65:$F$65</definedName>
    <definedName name="T22?L5.4">'[4]22'!$K$66,'[4]22'!$E$66:$F$66</definedName>
    <definedName name="T22?L5.4.x">'[4]22'!$K$68:$K$68,'[4]22'!$E$68:$F$68</definedName>
    <definedName name="T22?L6">'[4]22'!$E$72:$F$72,'[4]22'!$H$72:$H$72,'[4]22'!$J$72:$K$72</definedName>
    <definedName name="T22?L6.1">'[4]22'!$E$73:$F$73,'[4]22'!$H$73:$H$73,'[4]22'!$J$73:$K$73</definedName>
    <definedName name="T22?L6.1.x">'[4]22'!$E$75:$F$75,'[4]22'!$H$75:$H$75,'[4]22'!$J$75:$K$75</definedName>
    <definedName name="T22?L6.2">'[4]22'!$K$77,'[4]22'!$E$77:$F$77</definedName>
    <definedName name="T22?L6.3">'[4]22'!$K$78,'[4]22'!$E$78:$F$78</definedName>
    <definedName name="T22?L6.4">'[4]22'!$K$79,'[4]22'!$E$79:$F$79</definedName>
    <definedName name="T22?L6.4.x">'[4]22'!$K$81:$K$81,'[4]22'!$E$81:$F$81</definedName>
    <definedName name="T22?L7.1">'[4]22'!$E$86:$F$86,'[4]22'!$H$86:$H$86,'[4]22'!$J$86</definedName>
    <definedName name="T22?L8.1">'[4]22'!$E$99:$F$99,'[4]22'!$H$99:$H$99,'[4]22'!$J$99</definedName>
    <definedName name="T22?L8.1.x">'[4]22'!$E$101:$F$101,'[4]22'!$H$101:$H$101,'[4]22'!$J$101:$J$101</definedName>
    <definedName name="T22?L9.1">'[4]22'!$E$112:$F$112,'[4]22'!$H$112:$H$112,'[4]22'!$J$112</definedName>
    <definedName name="T22?L9.1.x">'[4]22'!$E$114:$F$114,'[4]22'!$H$114:$H$114,'[4]22'!$J$114:$J$114</definedName>
    <definedName name="T22?unit?РУБ.ТКВТЧ">'[4]22'!$A$137:$K$147,'[4]22'!$A$111:$K$121</definedName>
    <definedName name="T22?unit?ТРУБ">'[4]22'!$A$7:$K$17,'[4]22'!$A$20:$K$30,'[4]22'!$A$33:$K$43,'[4]22'!$A$46:$K$56,'[4]22'!$A$72:$K$82</definedName>
    <definedName name="T23?Data">'[4]23'!$D$6:$E$6,'[4]23'!$D$8:$E$11,'[4]23'!$D$13:$E$28</definedName>
    <definedName name="T23?unit?МВТ">'[4]23'!$D$11:$E$11,'[4]23'!$D$13:$E$15</definedName>
    <definedName name="T23?unit?МКВТЧ">'[4]23'!$D$6:$E$6,'[4]23'!$D$8:$E$10</definedName>
    <definedName name="T23?unit?РУБ.ТКВТ">'[4]23'!$D$19:$E$19,'[4]23'!$D$22:$E$22,'[4]23'!$D$25:$E$25,'[4]23'!$D$28:$E$28</definedName>
    <definedName name="T23?unit?РУБ.ТКВТЧ">'[4]23'!$D$17:$E$18,'[4]23'!$D$20:$E$21,'[4]23'!$D$23:$E$24,'[4]23'!$D$26:$E$27</definedName>
    <definedName name="T24.1?axis?ПРД?БАЗ">'[4]24.1'!$D$8:$D$29,'[4]24.1'!$G$8:$G$29</definedName>
    <definedName name="T24.1?axis?ПРД?РЕГ">'[4]24.1'!$E$8:$E$29,'[4]24.1'!$H$8:$H$29</definedName>
    <definedName name="T24.1?Data">'[4]24.1'!$D$8:$H$8,'[4]24.1'!$D$10:$H$29</definedName>
    <definedName name="T24.1?unit?ТРУБ">'[4]24.1'!$D$8:$H$19,'[4]24.1'!$D$21:$H$23</definedName>
    <definedName name="T24?axis?R?НАП">'[4]24'!$D$7:$E$8,'[4]24'!$D$10:$E$12,'[4]24'!$D$14:$E$15,'[4]24'!$D$17:$E$19,'[4]24'!$D$22:$E$23,'[4]24'!$D$25:$E$27,'[4]24'!$D$33:$E$34,'[4]24'!$D$36:$E$38,'[4]24'!$D$40:$E$41,'[4]24'!$D$43:$E$45</definedName>
    <definedName name="T24?axis?R?НАП?">'[4]24'!$B$7:$B$8,'[4]24'!$B$10:$B$12,'[4]24'!$B$14:$B$15,'[4]24'!$B$17:$B$19,'[4]24'!$B$22:$B$23,'[4]24'!$B$25:$B$27,'[4]24'!$B$33:$B$34,'[4]24'!$B$36:$B$38,'[4]24'!$B$40:$B$41,'[4]24'!$B$43:$B$45</definedName>
    <definedName name="T24?Data">'[4]24'!$D$40:$E$40,'[4]24'!$D$36:$E$38,'[4]24'!$D$33:$E$33,'[4]24'!$D$25:$E$31,'[4]24'!$D$6:$E$8,'[4]24'!$D$10:$E$15,'[4]24'!$D$17:$E$23,'[4]24'!$D$43:$E$45</definedName>
    <definedName name="T24?L1.1">'[4]24'!$D$7:$E$8,'[4]24'!$D$10:$E$12</definedName>
    <definedName name="T24?L2.1">'[4]24'!$D$14:$E$15,'[4]24'!$D$17:$E$19</definedName>
    <definedName name="T24?L4.1">'[4]24'!$D$22:$E$23,'[4]24'!$D$25:$E$27</definedName>
    <definedName name="T24?L5.1">'[4]24'!$D$33:$E$33,'[4]24'!$D$36:$E$38</definedName>
    <definedName name="T24?L6.1">'[4]24'!$D$40:$E$40,'[4]24'!$D$43:$E$45</definedName>
    <definedName name="T24?unit?ТРУБ">'[4]24'!$D$6:$E$19,'[4]24'!$D$21:$E$27</definedName>
    <definedName name="T25.1?axis?ПРД?БАЗ">'[4]25.1'!$D$8:$D$22,'[4]25.1'!$F$8:$F$22</definedName>
    <definedName name="T25.1?axis?ПРД?РЕГ">'[4]25.1'!$E$8:$E$22,'[4]25.1'!$G$8:$G$22</definedName>
    <definedName name="T25.1?unit?РУБ.ГКАЛ">'[4]25.1'!$D$8:$G$10,'[4]25.1'!$D$20:$G$22</definedName>
    <definedName name="T25?Data">'[4]25'!$D$6:$E$8,'[4]25'!$D$10:$E$11,'[4]25'!$D$13:$E$15,'[4]25'!$D$17:$E$17,'[4]25'!$D$20:$E$22,'[4]25'!$D$24:$E$25,'[4]25'!$D$27:$E$29,'[4]25'!$D$31:$E$31,'[4]25'!$D$34:$E$36,'[4]25'!$D$38:$E$38,'[4]25'!$D$41:$E$43</definedName>
    <definedName name="T25?L2">'[4]25'!$D$10:$E$11,'[4]25'!$D$13:$E$14</definedName>
    <definedName name="T25?L3">'[4]25'!$D$17:$E$17,'[4]25'!$D$20:$E$22</definedName>
    <definedName name="T25?L4">'[4]25'!$D$24:$E$25,'[4]25'!$D$27:$E$29</definedName>
    <definedName name="T25?L5">'[4]25'!$D$31:$E$31,'[4]25'!$D$34:$E$36</definedName>
    <definedName name="T25?L6">'[4]25'!$D$38:$E$38,'[4]25'!$D$41:$E$43</definedName>
    <definedName name="T25?unit?МКВТЧ">'[4]25'!$D$9:$E$15,'[4]25'!$D$24:$E$29</definedName>
    <definedName name="T25?unit?РУБ.МВТЧ">'[4]25'!$D$38:$E$43,'[4]25'!$D$6:$E$8</definedName>
    <definedName name="T26?Data">'[4]26'!$D$6:$E$6,'[4]26'!$D$8:$E$16</definedName>
    <definedName name="T26?unit?МКВТЧ">'[4]26'!$D$6:$E$6,'[4]26'!$D$8:$E$10</definedName>
    <definedName name="T27?axis?C?НАП">'[4]27'!$D$9:$P$35,'[4]27'!$R$9:$AU$35</definedName>
    <definedName name="T27?axis?C?НАП?">'[4]27'!$R$7:$AU$7,'[4]27'!$D$7:$P$7</definedName>
    <definedName name="T27?axis?C?ПОТ">'[4]27'!$D$9:$P$35,'[4]27'!$R$9:$AU$35</definedName>
    <definedName name="T27?axis?C?ПОТ?">'[4]27'!$D$6:$P$6,'[4]27'!$R$6:$AU$6</definedName>
    <definedName name="T27?Data">'[4]27'!$K$9:$P$35,'[4]27'!$R$9:$AU$35,'[4]27'!$D$9:$I$35</definedName>
    <definedName name="T27?L1">'[4]27'!$R$9:$AU$9,'[4]27'!$D$9:$I$9,'[4]27'!$K$9:$P$9</definedName>
    <definedName name="T27?L2">'[4]27'!$R$10:$AU$10,'[4]27'!$D$10:$I$10,'[4]27'!$K$10:$P$10</definedName>
    <definedName name="T27?L3">'[4]27'!$D$12:$I$12,'[4]27'!$R$12:$AO$12,'[4]27'!$K$12:$P$12</definedName>
    <definedName name="T27?L3.1" localSheetId="2">'[4]27'!$S$13:$W$13,'[4]27'!$Y$13:$AC$13,'[4]27'!$L$13:$P$13,P1_T27?L3.1</definedName>
    <definedName name="T27?L3.1" localSheetId="6">'[4]27'!$S$13:$W$13,'[4]27'!$Y$13:$AC$13,'[4]27'!$L$13:$P$13,P1_T27?L3.1</definedName>
    <definedName name="T27?L3.1" localSheetId="8">'[4]27'!$S$13:$W$13,'[4]27'!$Y$13:$AC$13,'[4]27'!$L$13:$P$13,P1_T27?L3.1</definedName>
    <definedName name="T27?L3.1" localSheetId="13">'[4]27'!$S$13:$W$13,'[4]27'!$Y$13:$AC$13,'[4]27'!$L$13:$P$13,P1_T27?L3.1</definedName>
    <definedName name="T27?L3.1" localSheetId="15">'[4]27'!$S$13:$W$13,'[4]27'!$Y$13:$AC$13,'[4]27'!$L$13:$P$13,P1_T27?L3.1</definedName>
    <definedName name="T27?L3.2" localSheetId="2">'[4]27'!$Y$14:$AC$14,'[4]27'!$S$14:$W$14,'[4]27'!$AE$14:$AI$14,P1_T27?L3.2</definedName>
    <definedName name="T27?L3.2" localSheetId="6">'[4]27'!$Y$14:$AC$14,'[4]27'!$S$14:$W$14,'[4]27'!$AE$14:$AI$14,P1_T27?L3.2</definedName>
    <definedName name="T27?L3.2" localSheetId="8">'[4]27'!$Y$14:$AC$14,'[4]27'!$S$14:$W$14,'[4]27'!$AE$14:$AI$14,P1_T27?L3.2</definedName>
    <definedName name="T27?L3.2" localSheetId="13">'[4]27'!$Y$14:$AC$14,'[4]27'!$S$14:$W$14,'[4]27'!$AE$14:$AI$14,P1_T27?L3.2</definedName>
    <definedName name="T27?L3.2" localSheetId="15">'[4]27'!$Y$14:$AC$14,'[4]27'!$S$14:$W$14,'[4]27'!$AE$14:$AI$14,P1_T27?L3.2</definedName>
    <definedName name="T27?L4">'[4]27'!$K$16:$K$16,'[4]27'!$M$16:$P$16,'[4]27'!$R$16:$X$16,'[4]27'!$Z$16:$AD$16,'[4]27'!$AF$16:$AJ$16,'[4]27'!$AL$16:$AP$16,'[4]27'!$AR$16:$AU$16,'[4]27'!$D$16,'[4]27'!$F$16:$I$16</definedName>
    <definedName name="T27?L4.1" localSheetId="2">'[4]27'!$T$17:$W$17,'[4]27'!$AR$17:$AU$17,'[4]27'!$M$17:$P$17,P1_T27?L4.1</definedName>
    <definedName name="T27?L4.1" localSheetId="6">'[4]27'!$T$17:$W$17,'[4]27'!$AR$17:$AU$17,'[4]27'!$M$17:$P$17,P1_T27?L4.1</definedName>
    <definedName name="T27?L4.1" localSheetId="8">'[4]27'!$T$17:$W$17,'[4]27'!$AR$17:$AU$17,'[4]27'!$M$17:$P$17,P1_T27?L4.1</definedName>
    <definedName name="T27?L4.1" localSheetId="13">'[4]27'!$T$17:$W$17,'[4]27'!$AR$17:$AU$17,'[4]27'!$M$17:$P$17,P1_T27?L4.1</definedName>
    <definedName name="T27?L4.1" localSheetId="15">'[4]27'!$T$17:$W$17,'[4]27'!$AR$17:$AU$17,'[4]27'!$M$17:$P$17,P1_T27?L4.1</definedName>
    <definedName name="T27?L4.1.1" localSheetId="2">'[4]27'!$AF$18:$AI$18,'[4]27'!$M$18:$P$18,P1_T27?L4.1.1</definedName>
    <definedName name="T27?L4.1.1" localSheetId="6">'[4]27'!$AF$18:$AI$18,'[4]27'!$M$18:$P$18,P1_T27?L4.1.1</definedName>
    <definedName name="T27?L4.1.1" localSheetId="8">'[4]27'!$AF$18:$AI$18,'[4]27'!$M$18:$P$18,P1_T27?L4.1.1</definedName>
    <definedName name="T27?L4.1.1" localSheetId="13">'[4]27'!$AF$18:$AI$18,'[4]27'!$M$18:$P$18,P1_T27?L4.1.1</definedName>
    <definedName name="T27?L4.1.1" localSheetId="15">'[4]27'!$AF$18:$AI$18,'[4]27'!$M$18:$P$18,P1_T27?L4.1.1</definedName>
    <definedName name="T27?L4.1.1.1" localSheetId="2">'[4]27'!$F$19:$I$19,'[4]27'!$T$19:$W$19,P1_T27?L4.1.1.1</definedName>
    <definedName name="T27?L4.1.1.1" localSheetId="6">'[4]27'!$F$19:$I$19,'[4]27'!$T$19:$W$19,P1_T27?L4.1.1.1</definedName>
    <definedName name="T27?L4.1.1.1" localSheetId="8">'[4]27'!$F$19:$I$19,'[4]27'!$T$19:$W$19,P1_T27?L4.1.1.1</definedName>
    <definedName name="T27?L4.1.1.1" localSheetId="13">'[4]27'!$F$19:$I$19,'[4]27'!$T$19:$W$19,P1_T27?L4.1.1.1</definedName>
    <definedName name="T27?L4.1.1.1" localSheetId="15">'[4]27'!$F$19:$I$19,'[4]27'!$T$19:$W$19,P1_T27?L4.1.1.1</definedName>
    <definedName name="T27?L4.1.2" localSheetId="2">'[4]27'!$T$20:$W$20,'[4]27'!$F$20:$I$20,P1_T27?L4.1.2</definedName>
    <definedName name="T27?L4.1.2" localSheetId="6">'[4]27'!$T$20:$W$20,'[4]27'!$F$20:$I$20,P1_T27?L4.1.2</definedName>
    <definedName name="T27?L4.1.2" localSheetId="8">'[4]27'!$T$20:$W$20,'[4]27'!$F$20:$I$20,P1_T27?L4.1.2</definedName>
    <definedName name="T27?L4.1.2" localSheetId="13">'[4]27'!$T$20:$W$20,'[4]27'!$F$20:$I$20,P1_T27?L4.1.2</definedName>
    <definedName name="T27?L4.1.2" localSheetId="15">'[4]27'!$T$20:$W$20,'[4]27'!$F$20:$I$20,P1_T27?L4.1.2</definedName>
    <definedName name="T27?L4.2" localSheetId="2">'[4]27'!$T$22:$W$22,'[4]27'!$Z$22:$AC$22,'[4]27'!$AF$22:$AI$22,P1_T27?L4.2</definedName>
    <definedName name="T27?L4.2" localSheetId="6">'[4]27'!$T$22:$W$22,'[4]27'!$Z$22:$AC$22,'[4]27'!$AF$22:$AI$22,P1_T27?L4.2</definedName>
    <definedName name="T27?L4.2" localSheetId="8">'[4]27'!$T$22:$W$22,'[4]27'!$Z$22:$AC$22,'[4]27'!$AF$22:$AI$22,P1_T27?L4.2</definedName>
    <definedName name="T27?L4.2" localSheetId="13">'[4]27'!$T$22:$W$22,'[4]27'!$Z$22:$AC$22,'[4]27'!$AF$22:$AI$22,P1_T27?L4.2</definedName>
    <definedName name="T27?L4.2" localSheetId="15">'[4]27'!$T$22:$W$22,'[4]27'!$Z$22:$AC$22,'[4]27'!$AF$22:$AI$22,P1_T27?L4.2</definedName>
    <definedName name="T27?L5">'[4]27'!$R$24:$AP$24,'[4]27'!$AR$24:$AU$24,'[4]27'!$D$24:$I$24,'[4]27'!$K$24:$P$24</definedName>
    <definedName name="T27?L5.1">'[4]27'!$R$25:$AP$25,'[4]27'!$AR$25:$AU$25,'[4]27'!$D$25:$I$25,'[4]27'!$K$25:$P$25</definedName>
    <definedName name="T27?L5.2">'[4]27'!$R$26:$AP$26,'[4]27'!$AR$26:$AU$26,'[4]27'!$D$26:$I$26,'[4]27'!$K$26:$P$26</definedName>
    <definedName name="T27?L6">'[4]27'!$R$28:$AP$28,'[4]27'!$AR$28:$AU$28,'[4]27'!$D$28:$I$28,'[4]27'!$K$28:$P$28</definedName>
    <definedName name="T27?L6.1">'[4]27'!$R$30:$AP$30,'[4]27'!$AR$30:$AU$30,'[4]27'!$D$30:$I$30,'[4]27'!$K$30:$P$30</definedName>
    <definedName name="T27?L6.2">'[4]27'!$R$31:$AP$31,'[4]27'!$AR$31:$AU$31,'[4]27'!$D$31:$I$31,'[4]27'!$K$31:$P$31</definedName>
    <definedName name="T27?L6.2.1">'[4]27'!$R$32:$AP$32,'[4]27'!$AR$32:$AU$32,'[4]27'!$D$32:$I$32,'[4]27'!$K$32:$P$32</definedName>
    <definedName name="T27?L6.3.1">'[4]27'!$R$34:$AP$34,'[4]27'!$AR$34:$AU$34,'[4]27'!$D$34:$I$34,'[4]27'!$K$34:$P$34</definedName>
    <definedName name="T27?L6.3.2">'[4]27'!$R$35:$AP$35,'[4]27'!$AR$35:$AU$35,'[4]27'!$D$35:$I$35,'[4]27'!$K$35:$P$35</definedName>
    <definedName name="T27?unit?РУБ.МВТ">'[4]27'!$D$13:$AU$13,'[4]27'!$D$19:$AU$19,'[4]27'!$D$25:$AU$25</definedName>
    <definedName name="T27?unit?РУБ.МВТЧ">'[4]27'!$D$12:$AU$12,'[4]27'!$D$16:$AU$18,'[4]27'!$D$20:$AU$20,'[4]27'!$D$22:$AU$22,'[4]27'!$D$24:$AU$24,'[4]27'!$D$26:$AU$26,'[4]27'!$D$14:$AU$14</definedName>
    <definedName name="T27?unit?ТРУБ">'[4]27'!$D$28:$AU$28,'[4]27'!$D$30:$AU$32,'[4]27'!$D$34:$AU$35</definedName>
    <definedName name="T28.1?axis?ПРД?БАЗ">'[4]28.1'!$D$8:$D$12,'[4]28.1'!$G$8:$G$12</definedName>
    <definedName name="T28.1?axis?ПРД?РЕГ">'[4]28.1'!$E$8:$E$12,'[4]28.1'!$H$8:$H$12</definedName>
    <definedName name="T28.2?axis?R?ПАР">'[4]28.2'!$E$15:$F$20,'[4]28.2'!$E$22:$F$27,'[4]28.2'!$H$15:$I$20,'[4]28.2'!$H$22:$I$27</definedName>
    <definedName name="T28.2?axis?R?ПАР?">'[4]28.2'!$C$22:$C$27,'[4]28.2'!$C$15:$C$20</definedName>
    <definedName name="T28.2?axis?ПРД?БАЗ">'[4]28.2'!$H$8:$H$30,'[4]28.2'!$E$8:$E$30</definedName>
    <definedName name="T28.2?axis?ПРД?РЕГ">'[4]28.2'!$I$8:$I$30,'[4]28.2'!$F$8:$F$30</definedName>
    <definedName name="T28.2?Data">'[4]28.2'!$E$13:$F$13,'[4]28.2'!$H$13:$I$13,'[4]28.2'!$E$15:$F$20,'[4]28.2'!$H$15:$I$20,'[4]28.2'!$E$22:$F$29,'[4]28.2'!$H$22:$I$29,'[4]28.2'!$E$9:$F$11,'[4]28.2'!$H$9:$I$11</definedName>
    <definedName name="T28.2?L0.1">'[4]28.2'!$E$9:$F$9,'[4]28.2'!$H$9:$I$9</definedName>
    <definedName name="T28.2?L0.2">'[4]28.2'!$H$10:$I$10,'[4]28.2'!$E$10:$F$10</definedName>
    <definedName name="T28.2?L0.3">'[4]28.2'!$H$11:$I$11,'[4]28.2'!$E$11:$F$11</definedName>
    <definedName name="T28.2?L1">'[4]28.2'!$E$13:$F$13,'[4]28.2'!$H$13:$I$13</definedName>
    <definedName name="T28.2?L1.1">'[4]28.2'!$H$15:$I$20,'[4]28.2'!$E$15:$F$20</definedName>
    <definedName name="T28.2?L2">'[4]28.2'!$E$22:$F$26,'[4]28.2'!$H$22:$I$26</definedName>
    <definedName name="T28.2?L3">'[4]28.2'!$E$27:$F$27,'[4]28.2'!$H$27:$I$27</definedName>
    <definedName name="T28.2?L4">'[4]28.2'!$E$28:$F$28,'[4]28.2'!$H$28:$I$28</definedName>
    <definedName name="T28.2?L5">'[4]28.2'!$E$29:$F$29,'[4]28.2'!$H$29:$I$29</definedName>
    <definedName name="T28.2?unit?КГ.ГКАЛ">'[4]28.2'!$E$28:$I$28,'[4]28.2'!$E$13:$I$13</definedName>
    <definedName name="T28.2?unit?РУБ.ГКАЛ">'[4]28.2'!$E$29:$I$29,'[4]28.2'!$E$22:$I$27</definedName>
    <definedName name="T28.3?axis?C?ПАР">'[4]28.3'!$E$14:$S$30,'[4]28.3'!$E$41:$S$57</definedName>
    <definedName name="T28.3?axis?C?ПОТ">'[4]28.3'!$E$14:$S$30,'[4]28.3'!$E$41:$S$57</definedName>
    <definedName name="T28.3?axis?R?СЦТ">'[4]28.3'!$E$14:$S$30,'[4]28.3'!$E$41:$S$57</definedName>
    <definedName name="T28.3?axis?R?СЦТ?">'[4]28.3'!$C$14:$C$30,'[4]28.3'!$C$41:$C$57</definedName>
    <definedName name="T28.3?Data">'[4]28.3'!$E$14:$S$30,'[4]28.3'!$E$41:$S$57</definedName>
    <definedName name="T28.3?L1">'[4]28.3'!$E$14:$S$14,'[4]28.3'!$E$41:$S$41</definedName>
    <definedName name="T28.3?L2">'[4]28.3'!$E$42:$S$42,'[4]28.3'!$E$15:$S$15</definedName>
    <definedName name="T28.3?L3">'[4]28.3'!$E$17:$S$17,'[4]28.3'!$E$44:$S$44</definedName>
    <definedName name="T28.3?L3.1">'[4]28.3'!$E$45:$S$45,'[4]28.3'!$E$18:$S$18</definedName>
    <definedName name="T28.3?L3.2">'[4]28.3'!$E$19:$S$19,'[4]28.3'!$E$46:$S$46</definedName>
    <definedName name="T28.3?L4">'[4]28.3'!$E$48:$S$48,'[4]28.3'!$E$21:$S$21</definedName>
    <definedName name="T28.3?L4.1">'[4]28.3'!$E$22:$S$22,'[4]28.3'!$E$49:$S$49</definedName>
    <definedName name="T28.3?L4.2">'[4]28.3'!$E$50:$S$50,'[4]28.3'!$E$23:$S$23</definedName>
    <definedName name="T28.3?L5">'[4]28.3'!$E$52:$S$52,'[4]28.3'!$E$25:$S$25</definedName>
    <definedName name="T28.3?L6">'[4]28.3'!$E$27:$S$27,'[4]28.3'!$E$54:$S$54</definedName>
    <definedName name="T28.3?L6.1">'[4]28.3'!$E$56:$S$56,'[4]28.3'!$E$29:$S$29</definedName>
    <definedName name="T28.3?L6.2">'[4]28.3'!$E$30:$S$30,'[4]28.3'!$E$57:$S$57</definedName>
    <definedName name="T28.3?unit?ГКАЛЧ">'[4]28.3'!$A$42:$S$42,'[4]28.3'!$A$15:$S$15</definedName>
    <definedName name="T28.3?unit?РУБ.ГКАЛ" localSheetId="2">P1_T28.3?unit?РУБ.ГКАЛ,P2_T28.3?unit?РУБ.ГКАЛ</definedName>
    <definedName name="T28.3?unit?РУБ.ГКАЛ" localSheetId="6">P1_T28.3?unit?РУБ.ГКАЛ,P2_T28.3?unit?РУБ.ГКАЛ</definedName>
    <definedName name="T28.3?unit?РУБ.ГКАЛ" localSheetId="8">P1_T28.3?unit?РУБ.ГКАЛ,P2_T28.3?unit?РУБ.ГКАЛ</definedName>
    <definedName name="T28.3?unit?РУБ.ГКАЛ" localSheetId="13">P1_T28.3?unit?РУБ.ГКАЛ,P2_T28.3?unit?РУБ.ГКАЛ</definedName>
    <definedName name="T28.3?unit?РУБ.ГКАЛ" localSheetId="15">P1_T28.3?unit?РУБ.ГКАЛ,P2_T28.3?unit?РУБ.ГКАЛ</definedName>
    <definedName name="T28.3?unit?РУБ.ГКАЛЧ">'[4]28.3'!$A$45:$S$45,'[4]28.3'!$A$18:$S$18</definedName>
    <definedName name="T28.3?unit?ТГКАЛ">'[4]28.3'!$A$14:$S$14,'[4]28.3'!$A$41:$S$41</definedName>
    <definedName name="T28.3?unit?ТРУБ" localSheetId="2">'[4]28.3'!$A$54:$S$54,'[4]28.3'!$A$29:$S$30,P1_T28.3?unit?ТРУБ</definedName>
    <definedName name="T28.3?unit?ТРУБ" localSheetId="6">'[4]28.3'!$A$54:$S$54,'[4]28.3'!$A$29:$S$30,P1_T28.3?unit?ТРУБ</definedName>
    <definedName name="T28.3?unit?ТРУБ" localSheetId="8">'[4]28.3'!$A$54:$S$54,'[4]28.3'!$A$29:$S$30,P1_T28.3?unit?ТРУБ</definedName>
    <definedName name="T28.3?unit?ТРУБ" localSheetId="13">'[4]28.3'!$A$54:$S$54,'[4]28.3'!$A$29:$S$30,P1_T28.3?unit?ТРУБ</definedName>
    <definedName name="T28.3?unit?ТРУБ" localSheetId="15">'[4]28.3'!$A$54:$S$54,'[4]28.3'!$A$29:$S$30,P1_T28.3?unit?ТРУБ</definedName>
    <definedName name="T28?axis?R?ПАР">'[4]28'!$E$10:$J$16,'[4]28'!$E$30:$J$36</definedName>
    <definedName name="T28?axis?R?ПАР?">'[4]28'!$D$30:$D$36,'[4]28'!$D$10:$D$16</definedName>
    <definedName name="T28?axis?R?СЦТ">'[4]28'!$E$10:$J$16,'[4]28'!$E$30:$J$36</definedName>
    <definedName name="T28?axis?R?СЦТ?">'[4]28'!$C$30:$C$36,'[4]28'!$C$10:$C$16</definedName>
    <definedName name="T28?Data">'[4]28'!$E$10:$J$16,'[4]28'!$E$30:$J$36</definedName>
    <definedName name="T28?L3">'[4]28'!$E$10:$E$16,'[4]28'!$E$30:$E$36</definedName>
    <definedName name="T28?L4">'[4]28'!$F$10:$F$16,'[4]28'!$F$30:$F$36</definedName>
    <definedName name="T28?L5">'[4]28'!$G$10:$G$16,'[4]28'!$G$30:$G$36</definedName>
    <definedName name="T28?L6">'[4]28'!$H$10:$H$16,'[4]28'!$H$30:$H$36</definedName>
    <definedName name="T28?L7">'[4]28'!$I$10:$I$16,'[4]28'!$I$30:$I$36</definedName>
    <definedName name="T28?L8">'[4]28'!$J$10:$J$16,'[4]28'!$J$30:$J$36</definedName>
    <definedName name="T29?item_ext?1СТ" localSheetId="2">P1_T29?item_ext?1СТ</definedName>
    <definedName name="T29?item_ext?1СТ" localSheetId="6">P1_T29?item_ext?1СТ</definedName>
    <definedName name="T29?item_ext?1СТ" localSheetId="8">P1_T29?item_ext?1СТ</definedName>
    <definedName name="T29?item_ext?1СТ" localSheetId="13">P1_T29?item_ext?1СТ</definedName>
    <definedName name="T29?item_ext?1СТ" localSheetId="15">P1_T29?item_ext?1СТ</definedName>
    <definedName name="T29?item_ext?1СТ.ДО3">'[4]29'!$G$25:$X$25,'[4]29'!$G$39:$X$39</definedName>
    <definedName name="T29?item_ext?1СТ.ДО4">'[4]29'!$G$38:$X$38,'[4]29'!$G$24:$X$24</definedName>
    <definedName name="T29?item_ext?1СТ.ДО5">'[4]29'!$G$37:$X$37,'[4]29'!$G$23:$X$23</definedName>
    <definedName name="T29?item_ext?1СТ.ДО6">'[4]29'!$G$36:$X$36,'[4]29'!$G$22:$X$22</definedName>
    <definedName name="T29?item_ext?1СТ.ДО7">'[4]29'!$G$35:$X$35,'[4]29'!$G$21:$X$21</definedName>
    <definedName name="T29?item_ext?2СТ.М" localSheetId="2">'[4]29'!$G$41:$X$41,P1_T29?item_ext?2СТ.М</definedName>
    <definedName name="T29?item_ext?2СТ.М" localSheetId="6">'[4]29'!$G$41:$X$41,P1_T29?item_ext?2СТ.М</definedName>
    <definedName name="T29?item_ext?2СТ.М" localSheetId="8">'[4]29'!$G$41:$X$41,P1_T29?item_ext?2СТ.М</definedName>
    <definedName name="T29?item_ext?2СТ.М" localSheetId="13">'[4]29'!$G$41:$X$41,P1_T29?item_ext?2СТ.М</definedName>
    <definedName name="T29?item_ext?2СТ.М" localSheetId="15">'[4]29'!$G$41:$X$41,P1_T29?item_ext?2СТ.М</definedName>
    <definedName name="T29?item_ext?2СТ.Э" localSheetId="2">'[4]29'!$G$42:$X$42,P1_T29?item_ext?2СТ.Э</definedName>
    <definedName name="T29?item_ext?2СТ.Э" localSheetId="6">'[4]29'!$G$42:$X$42,P1_T29?item_ext?2СТ.Э</definedName>
    <definedName name="T29?item_ext?2СТ.Э" localSheetId="8">'[4]29'!$G$42:$X$42,P1_T29?item_ext?2СТ.Э</definedName>
    <definedName name="T29?item_ext?2СТ.Э" localSheetId="13">'[4]29'!$G$42:$X$42,P1_T29?item_ext?2СТ.Э</definedName>
    <definedName name="T29?item_ext?2СТ.Э" localSheetId="15">'[4]29'!$G$42:$X$42,P1_T29?item_ext?2СТ.Э</definedName>
    <definedName name="T29?L10" localSheetId="2">P1_T29?L10</definedName>
    <definedName name="T29?L10" localSheetId="6">P1_T29?L10</definedName>
    <definedName name="T29?L10" localSheetId="8">P1_T29?L10</definedName>
    <definedName name="T29?L10" localSheetId="13">P1_T29?L10</definedName>
    <definedName name="T29?L10" localSheetId="15">P1_T29?L10</definedName>
    <definedName name="T29?L4" localSheetId="2">'[4]29'!$G$31,'[4]29'!$G$34,'[4]29'!$G$14,P1_T29?L4</definedName>
    <definedName name="T29?L4" localSheetId="6">'[4]29'!$G$31,'[4]29'!$G$34,'[4]29'!$G$14,P1_T29?L4</definedName>
    <definedName name="T29?L4" localSheetId="8">'[4]29'!$G$31,'[4]29'!$G$34,'[4]29'!$G$14,P1_T29?L4</definedName>
    <definedName name="T29?L4" localSheetId="13">'[4]29'!$G$31,'[4]29'!$G$34,'[4]29'!$G$14,P1_T29?L4</definedName>
    <definedName name="T29?L4" localSheetId="15">'[4]29'!$G$31,'[4]29'!$G$34,'[4]29'!$G$14,P1_T29?L4</definedName>
    <definedName name="T29?L5" localSheetId="2">'[4]29'!$H$14,P1_T29?L5</definedName>
    <definedName name="T29?L5" localSheetId="6">'[4]29'!$H$14,P1_T29?L5</definedName>
    <definedName name="T29?L5" localSheetId="8">'[4]29'!$H$14,P1_T29?L5</definedName>
    <definedName name="T29?L5" localSheetId="13">'[4]29'!$H$14,P1_T29?L5</definedName>
    <definedName name="T29?L5" localSheetId="15">'[4]29'!$H$14,P1_T29?L5</definedName>
    <definedName name="T29?L6" localSheetId="2">'[4]29'!$I$27:$L$28,'[4]29'!$I$34:$L$39,P1_T29?L6,P2_T29?L6</definedName>
    <definedName name="T29?L6" localSheetId="6">'[4]29'!$I$27:$L$28,'[4]29'!$I$34:$L$39,P1_T29?L6,P2_T29?L6</definedName>
    <definedName name="T29?L6" localSheetId="8">'[4]29'!$I$27:$L$28,'[4]29'!$I$34:$L$39,P1_T29?L6,P2_T29?L6</definedName>
    <definedName name="T29?L6" localSheetId="13">'[4]29'!$I$27:$L$28,'[4]29'!$I$34:$L$39,P1_T29?L6,P2_T29?L6</definedName>
    <definedName name="T29?L6" localSheetId="15">'[4]29'!$I$27:$L$28,'[4]29'!$I$34:$L$39,P1_T29?L6,P2_T29?L6</definedName>
    <definedName name="T3?axis?C?НАП" localSheetId="19">#REF!</definedName>
    <definedName name="T3?axis?C?НАП" localSheetId="20">#REF!</definedName>
    <definedName name="T3?axis?C?НАП" localSheetId="21">#REF!</definedName>
    <definedName name="T3?axis?C?НАП?" localSheetId="19">#REF!</definedName>
    <definedName name="T3?axis?C?НАП?" localSheetId="20">#REF!</definedName>
    <definedName name="T3?axis?C?НАП?" localSheetId="21">#REF!</definedName>
    <definedName name="T3?axis?R?ВОБР" localSheetId="19">#REF!,#REF!</definedName>
    <definedName name="T3?axis?R?ВОБР" localSheetId="20">#REF!,#REF!</definedName>
    <definedName name="T3?axis?R?ВОБР" localSheetId="21">#REF!,#REF!</definedName>
    <definedName name="T3?axis?R?ВОБР?" localSheetId="19">#REF!,#REF!</definedName>
    <definedName name="T3?axis?R?ВОБР?" localSheetId="20">#REF!,#REF!</definedName>
    <definedName name="T3?axis?R?ВОБР?" localSheetId="21">#REF!,#REF!</definedName>
    <definedName name="T3?axis?ПРД?БАЗ" localSheetId="19">#REF!</definedName>
    <definedName name="T3?axis?ПРД?БАЗ" localSheetId="20">#REF!</definedName>
    <definedName name="T3?axis?ПРД?БАЗ" localSheetId="21">#REF!</definedName>
    <definedName name="T3?axis?ПРД?РЕГ" localSheetId="19">#REF!</definedName>
    <definedName name="T3?axis?ПРД?РЕГ" localSheetId="20">#REF!</definedName>
    <definedName name="T3?axis?ПРД?РЕГ" localSheetId="21">#REF!</definedName>
    <definedName name="T3?Data" localSheetId="19">#REF!,#REF!,#REF!,#REF!</definedName>
    <definedName name="T3?Data" localSheetId="20">#REF!,#REF!,#REF!,#REF!</definedName>
    <definedName name="T3?Data" localSheetId="21">#REF!,#REF!,#REF!,#REF!</definedName>
    <definedName name="T3?L1" localSheetId="19">#REF!</definedName>
    <definedName name="T3?L1" localSheetId="20">#REF!</definedName>
    <definedName name="T3?L1" localSheetId="21">#REF!</definedName>
    <definedName name="T3?L1.1" localSheetId="19">#REF!</definedName>
    <definedName name="T3?L1.1" localSheetId="20">#REF!</definedName>
    <definedName name="T3?L1.1" localSheetId="21">#REF!</definedName>
    <definedName name="T3?L1.1.а" localSheetId="19">#REF!</definedName>
    <definedName name="T3?L1.1.а" localSheetId="20">#REF!</definedName>
    <definedName name="T3?L1.1.а" localSheetId="21">#REF!</definedName>
    <definedName name="T3?L1.1.б" localSheetId="19">#REF!</definedName>
    <definedName name="T3?L1.1.б" localSheetId="20">#REF!</definedName>
    <definedName name="T3?L1.1.б" localSheetId="21">#REF!</definedName>
    <definedName name="T3?L1.1.в" localSheetId="19">#REF!</definedName>
    <definedName name="T3?L1.1.в" localSheetId="20">#REF!</definedName>
    <definedName name="T3?L1.1.в" localSheetId="21">#REF!</definedName>
    <definedName name="T3?L1.2" localSheetId="19">#REF!</definedName>
    <definedName name="T3?L1.2" localSheetId="20">#REF!</definedName>
    <definedName name="T3?L1.2" localSheetId="21">#REF!</definedName>
    <definedName name="T3?L1.2.а" localSheetId="19">#REF!</definedName>
    <definedName name="T3?L1.2.а" localSheetId="20">#REF!</definedName>
    <definedName name="T3?L1.2.а" localSheetId="21">#REF!</definedName>
    <definedName name="T3?L1.2.б" localSheetId="19">#REF!</definedName>
    <definedName name="T3?L1.2.б" localSheetId="20">#REF!</definedName>
    <definedName name="T3?L1.2.б" localSheetId="21">#REF!</definedName>
    <definedName name="T3?L1.3" localSheetId="19">#REF!</definedName>
    <definedName name="T3?L1.3" localSheetId="20">#REF!</definedName>
    <definedName name="T3?L1.3" localSheetId="21">#REF!</definedName>
    <definedName name="T3?L1.3.а" localSheetId="19">#REF!</definedName>
    <definedName name="T3?L1.3.а" localSheetId="20">#REF!</definedName>
    <definedName name="T3?L1.3.а" localSheetId="21">#REF!</definedName>
    <definedName name="T3?L1.3.б" localSheetId="19">#REF!</definedName>
    <definedName name="T3?L1.3.б" localSheetId="20">#REF!</definedName>
    <definedName name="T3?L1.3.б" localSheetId="21">#REF!</definedName>
    <definedName name="T3?L1.4" localSheetId="19">#REF!</definedName>
    <definedName name="T3?L1.4" localSheetId="20">#REF!</definedName>
    <definedName name="T3?L1.4" localSheetId="21">#REF!</definedName>
    <definedName name="T3?L1.4.1" localSheetId="19">#REF!</definedName>
    <definedName name="T3?L1.4.1" localSheetId="20">#REF!</definedName>
    <definedName name="T3?L1.4.1" localSheetId="21">#REF!</definedName>
    <definedName name="T3?L1.4.1.а" localSheetId="19">#REF!</definedName>
    <definedName name="T3?L1.4.1.а" localSheetId="20">#REF!</definedName>
    <definedName name="T3?L1.4.1.а" localSheetId="21">#REF!</definedName>
    <definedName name="T3?L1.4.1.б" localSheetId="19">#REF!</definedName>
    <definedName name="T3?L1.4.1.б" localSheetId="20">#REF!</definedName>
    <definedName name="T3?L1.4.1.б" localSheetId="21">#REF!</definedName>
    <definedName name="T3?L1.5" localSheetId="19">#REF!</definedName>
    <definedName name="T3?L1.5" localSheetId="20">#REF!</definedName>
    <definedName name="T3?L1.5" localSheetId="21">#REF!</definedName>
    <definedName name="T3?L1.5.1" localSheetId="19">#REF!</definedName>
    <definedName name="T3?L1.5.1" localSheetId="20">#REF!</definedName>
    <definedName name="T3?L1.5.1" localSheetId="21">#REF!</definedName>
    <definedName name="T3?L1.5.1.а" localSheetId="19">#REF!</definedName>
    <definedName name="T3?L1.5.1.а" localSheetId="20">#REF!</definedName>
    <definedName name="T3?L1.5.1.а" localSheetId="21">#REF!</definedName>
    <definedName name="T3?L1.5.1.б" localSheetId="19">#REF!</definedName>
    <definedName name="T3?L1.5.1.б" localSheetId="20">#REF!</definedName>
    <definedName name="T3?L1.5.1.б" localSheetId="21">#REF!</definedName>
    <definedName name="T3?L1.6" localSheetId="19">#REF!</definedName>
    <definedName name="T3?L1.6" localSheetId="20">#REF!</definedName>
    <definedName name="T3?L1.6" localSheetId="21">#REF!</definedName>
    <definedName name="T3?L1.6.1" localSheetId="19">#REF!</definedName>
    <definedName name="T3?L1.6.1" localSheetId="20">#REF!</definedName>
    <definedName name="T3?L1.6.1" localSheetId="21">#REF!</definedName>
    <definedName name="T3?L1.6.1.а" localSheetId="19">#REF!</definedName>
    <definedName name="T3?L1.6.1.а" localSheetId="20">#REF!</definedName>
    <definedName name="T3?L1.6.1.а" localSheetId="21">#REF!</definedName>
    <definedName name="T3?L1.6.1.б" localSheetId="19">#REF!</definedName>
    <definedName name="T3?L1.6.1.б" localSheetId="20">#REF!</definedName>
    <definedName name="T3?L1.6.1.б" localSheetId="21">#REF!</definedName>
    <definedName name="T3?L1.6.2" localSheetId="19">#REF!</definedName>
    <definedName name="T3?L1.6.2" localSheetId="20">#REF!</definedName>
    <definedName name="T3?L1.6.2" localSheetId="21">#REF!</definedName>
    <definedName name="T3?L1.6.2.а" localSheetId="19">#REF!</definedName>
    <definedName name="T3?L1.6.2.а" localSheetId="20">#REF!</definedName>
    <definedName name="T3?L1.6.2.а" localSheetId="21">#REF!</definedName>
    <definedName name="T3?L1.6.2.б" localSheetId="19">#REF!</definedName>
    <definedName name="T3?L1.6.2.б" localSheetId="20">#REF!</definedName>
    <definedName name="T3?L1.6.2.б" localSheetId="21">#REF!</definedName>
    <definedName name="T3?L2" localSheetId="19">#REF!</definedName>
    <definedName name="T3?L2" localSheetId="20">#REF!</definedName>
    <definedName name="T3?L2" localSheetId="21">#REF!</definedName>
    <definedName name="T3?L3" localSheetId="19">#REF!</definedName>
    <definedName name="T3?L3" localSheetId="20">#REF!</definedName>
    <definedName name="T3?L3" localSheetId="21">#REF!</definedName>
    <definedName name="T3?L4" localSheetId="19">#REF!</definedName>
    <definedName name="T3?L4" localSheetId="20">#REF!</definedName>
    <definedName name="T3?L4" localSheetId="21">#REF!</definedName>
    <definedName name="T3?Name" localSheetId="19">#REF!</definedName>
    <definedName name="T3?Name" localSheetId="20">#REF!</definedName>
    <definedName name="T3?Name" localSheetId="21">#REF!</definedName>
    <definedName name="T3?Table" localSheetId="19">#REF!</definedName>
    <definedName name="T3?Table" localSheetId="20">#REF!</definedName>
    <definedName name="T3?Table" localSheetId="21">#REF!</definedName>
    <definedName name="T3?Title" localSheetId="19">#REF!</definedName>
    <definedName name="T3?Title" localSheetId="20">#REF!</definedName>
    <definedName name="T3?Title" localSheetId="21">#REF!</definedName>
    <definedName name="T3?unit?КВТ.МВА" localSheetId="19">#REF!</definedName>
    <definedName name="T3?unit?КВТ.МВА" localSheetId="20">#REF!</definedName>
    <definedName name="T3?unit?КВТ.МВА" localSheetId="21">#REF!</definedName>
    <definedName name="T3?unit?КМ" localSheetId="19">#REF!,#REF!</definedName>
    <definedName name="T3?unit?КМ" localSheetId="20">#REF!,#REF!</definedName>
    <definedName name="T3?unit?КМ" localSheetId="21">#REF!,#REF!</definedName>
    <definedName name="T3?unit?МВА" localSheetId="19">#REF!</definedName>
    <definedName name="T3?unit?МВА" localSheetId="20">#REF!</definedName>
    <definedName name="T3?unit?МВА" localSheetId="21">#REF!</definedName>
    <definedName name="T3?unit?МКВТЧ" localSheetId="19">#REF!,#REF!,#REF!,#REF!,#REF!,#REF!,#REF!,#REF!,#REF!,#REF!,#REF!</definedName>
    <definedName name="T3?unit?МКВТЧ" localSheetId="20">#REF!,#REF!,#REF!,#REF!,#REF!,#REF!,#REF!,#REF!,#REF!,#REF!,#REF!</definedName>
    <definedName name="T3?unit?МКВТЧ" localSheetId="21">#REF!,#REF!,#REF!,#REF!,#REF!,#REF!,#REF!,#REF!,#REF!,#REF!,#REF!</definedName>
    <definedName name="T3?unit?ПРЦ" localSheetId="19">#REF!</definedName>
    <definedName name="T3?unit?ПРЦ" localSheetId="20">#REF!</definedName>
    <definedName name="T3?unit?ПРЦ" localSheetId="21">#REF!</definedName>
    <definedName name="T3?unit?ТКВТЧ.Г.КМ" localSheetId="19">#REF!,#REF!</definedName>
    <definedName name="T3?unit?ТКВТЧ.Г.КМ" localSheetId="20">#REF!,#REF!</definedName>
    <definedName name="T3?unit?ТКВТЧ.Г.КМ" localSheetId="21">#REF!,#REF!</definedName>
    <definedName name="T3?unit?ТКВТЧ.Г.ШТ" localSheetId="19">#REF!,#REF!,#REF!</definedName>
    <definedName name="T3?unit?ТКВТЧ.Г.ШТ" localSheetId="20">#REF!,#REF!,#REF!</definedName>
    <definedName name="T3?unit?ТКВТЧ.Г.ШТ" localSheetId="21">#REF!,#REF!,#REF!</definedName>
    <definedName name="T3?unit?ЧАС" localSheetId="19">#REF!</definedName>
    <definedName name="T3?unit?ЧАС" localSheetId="20">#REF!</definedName>
    <definedName name="T3?unit?ЧАС" localSheetId="21">#REF!</definedName>
    <definedName name="T3?unit?ШТ" localSheetId="19">#REF!,#REF!,#REF!</definedName>
    <definedName name="T3?unit?ШТ" localSheetId="20">#REF!,#REF!,#REF!</definedName>
    <definedName name="T3?unit?ШТ" localSheetId="21">#REF!,#REF!,#REF!</definedName>
    <definedName name="T3_Copy1" localSheetId="19">#REF!</definedName>
    <definedName name="T3_Copy1" localSheetId="20">#REF!</definedName>
    <definedName name="T3_Copy1" localSheetId="21">#REF!</definedName>
    <definedName name="T3_Copy2" localSheetId="19">#REF!</definedName>
    <definedName name="T3_Copy2" localSheetId="20">#REF!</definedName>
    <definedName name="T3_Copy2" localSheetId="21">#REF!</definedName>
    <definedName name="T3_Name1" localSheetId="19">#REF!</definedName>
    <definedName name="T3_Name1" localSheetId="20">#REF!</definedName>
    <definedName name="T3_Name1" localSheetId="21">#REF!</definedName>
    <definedName name="T3_Name2" localSheetId="19">#REF!</definedName>
    <definedName name="T3_Name2" localSheetId="20">#REF!</definedName>
    <definedName name="T3_Name2" localSheetId="21">#REF!</definedName>
    <definedName name="T4?Data">'[4]4'!$D$9:$G$9,'[4]4'!$I$9:$L$9,'[4]4'!$D$11:$G$21,'[4]4'!$C$14:$C$19,'[4]4'!$C$21,'[4]4'!$H$14:$H$19,'[4]4'!$H$21,'[4]4'!$I$11:$L$21,'[4]4'!$C$23:$L$25,'[4]4'!$C$8:$L$8</definedName>
    <definedName name="T4?L1.1">'[4]4'!$D$11:$G$13,'[4]4'!$I$11:$L$13</definedName>
    <definedName name="T4?L1.1.ВСЕГО">'[4]4'!$D$9:$G$9,'[4]4'!$I$9:$L$9</definedName>
    <definedName name="T4?L4">'[4]4'!$D$20:$G$20,'[4]4'!$I$20:$L$20</definedName>
    <definedName name="T4?unit?МКВТЧ">'[4]4'!$C$8:$L$9,'[4]4'!$C$11:$L$21,'[4]4'!$C$23:$L$25</definedName>
    <definedName name="T5?Data">'[4]5'!$D$9:$G$9,'[4]5'!$I$9:$L$9,'[4]5'!$D$11:$G$13,'[4]5'!$I$11:$L$13,'[4]5'!$C$14:$L$23,'[4]5'!$C$8:$L$8</definedName>
    <definedName name="T5?L1.1">'[4]5'!$D$11:$G$13,'[4]5'!$I$11:$L$13</definedName>
    <definedName name="T5?L1.1.ВСЕГО">'[4]5'!$D$9:$G$9,'[4]5'!$I$9:$L$9</definedName>
    <definedName name="T5?unit?МВТ">'[4]5'!$C$8:$L$17,'[4]5'!$C$19:$L$23</definedName>
    <definedName name="T6?axis?C?НАП">'[4]6'!$C$7:$N$24,'[4]6'!$P$7:$U$24</definedName>
    <definedName name="T6?axis?C?НАП?">'[4]6'!$P$5:$U$5,'[4]6'!$C$5:$N$5</definedName>
    <definedName name="T6?axis?R?ПОТ">'[4]6'!$C$8:$U$8,'[4]6'!$C$10:$U$10,'[4]6'!$C$12:$U$15,'[4]6'!$C$17:$U$17,'[4]6'!$C$19:$U$19,'[4]6'!$C$21:$U$24</definedName>
    <definedName name="T6?axis?R?ПОТ?">'[4]6'!$B$8,'[4]6'!$B$10:$B$10,'[4]6'!$B$12:$B$15,'[4]6'!$B$17,'[4]6'!$B$19:$B$19,'[4]6'!$B$21:$B$24</definedName>
    <definedName name="T6?Data">'[4]6'!$C$8:$U$8,'[4]6'!$C$10:$U$10,'[4]6'!$C$12:$U$15,'[4]6'!$C$17:$U$17,'[4]6'!$C$19:$U$19,'[4]6'!$C$21:$U$24</definedName>
    <definedName name="T6?L1">'[4]6'!$C$12:$H$15,'[4]6'!$C$17:$H$17,'[4]6'!$C$19:$H$19,'[4]6'!$C$21:$H$24,'[4]6'!$C$8:$H$8,'[4]6'!$C$10:$H$10</definedName>
    <definedName name="T6?L2">'[4]6'!$I$12:$N$15,'[4]6'!$I$17:$N$17,'[4]6'!$I$19:$N$19,'[4]6'!$I$21:$N$24,'[4]6'!$I$8:$N$8,'[4]6'!$I$10:$N$10</definedName>
    <definedName name="T6?L3">'[4]6'!$O$12:$O$15,'[4]6'!$O$17,'[4]6'!$O$19:$O$19,'[4]6'!$O$21:$O$24,'[4]6'!$O$8,'[4]6'!$O$10:$O$10</definedName>
    <definedName name="T6?L4">'[4]6'!$P$12:$U$15,'[4]6'!$P$17:$U$17,'[4]6'!$P$19:$U$19,'[4]6'!$P$21:$U$24,'[4]6'!$P$8:$U$8,'[4]6'!$P$10:$U$10</definedName>
    <definedName name="T7?axis?R?ПЭ">'[4]7'!$D$21:$S$21,'[4]7'!$D$25:$S$25,'[4]7'!$D$17:$S$17</definedName>
    <definedName name="T7?axis?R?ПЭ?">'[4]7'!$B$21,'[4]7'!$B$25,'[4]7'!$B$17:$B$17</definedName>
    <definedName name="T7?axis?R?СЦТ">'[4]7'!$D$45:$S$45,'[4]7'!$D$33:$S$33,'[4]7'!$D$28:$S$28,'[4]7'!$D$37:$S$37,'[4]7'!$D$49:$S$49,'[4]7'!$D$41:$S$41</definedName>
    <definedName name="T7?axis?R?СЦТ?">'[4]7'!$B$45:$B$45,'[4]7'!$B$33:$B$33,'[4]7'!$B$28:$B$28,'[4]7'!$B$37:$B$37,'[4]7'!$B$49:$B$49,'[4]7'!$B$41:$B$41</definedName>
    <definedName name="T7?Data" localSheetId="2">'[4]7'!$D$25:$S$25,'[4]7'!$D$30:$S$31,'[4]7'!$D$33:$S$33,'[4]7'!$D$35:$S$35,'[4]7'!$D$37:$S$37,P1_T7?Data</definedName>
    <definedName name="T7?Data" localSheetId="6">'[4]7'!$D$25:$S$25,'[4]7'!$D$30:$S$31,'[4]7'!$D$33:$S$33,'[4]7'!$D$35:$S$35,'[4]7'!$D$37:$S$37,P1_T7?Data</definedName>
    <definedName name="T7?Data" localSheetId="8">'[4]7'!$D$25:$S$25,'[4]7'!$D$30:$S$31,'[4]7'!$D$33:$S$33,'[4]7'!$D$35:$S$35,'[4]7'!$D$37:$S$37,P1_T7?Data</definedName>
    <definedName name="T7?Data" localSheetId="13">'[4]7'!$D$25:$S$25,'[4]7'!$D$30:$S$31,'[4]7'!$D$33:$S$33,'[4]7'!$D$35:$S$35,'[4]7'!$D$37:$S$37,P1_T7?Data</definedName>
    <definedName name="T7?Data" localSheetId="15">'[4]7'!$D$25:$S$25,'[4]7'!$D$30:$S$31,'[4]7'!$D$33:$S$33,'[4]7'!$D$35:$S$35,'[4]7'!$D$37:$S$37,P1_T7?Data</definedName>
    <definedName name="T7?item_ext?ВСЕГО">'[4]7'!$D$39:$S$39,'[4]7'!$D$43:$S$43,'[4]7'!$D$14:$S$14,'[4]7'!$D$47:$S$47,'[4]7'!$D$31:$S$31,'[4]7'!$D$35:$S$35</definedName>
    <definedName name="T7?L1">'[4]7'!$D$23:$S$23,'[4]7'!$D$25:$S$25,'[4]7'!$D$14:$S$15,'[4]7'!$D$17:$S$17,'[4]7'!$D$19:$S$19,'[4]7'!$D$21:$S$21</definedName>
    <definedName name="T7?L3">'[4]7'!$D$33:$S$33,'[4]7'!$D$31:$S$31</definedName>
    <definedName name="T7?L4">'[4]7'!$D$37:$S$37,'[4]7'!$D$35:$S$35</definedName>
    <definedName name="T7?L4.1">'[4]7'!$D$41:$S$41,'[4]7'!$D$39:$S$39</definedName>
    <definedName name="T7?L5">'[4]7'!$D$45:$S$45,'[4]7'!$D$43:$S$43</definedName>
    <definedName name="T7?L5.1">'[4]7'!$D$47:$S$47,'[4]7'!$D$49:$S$49</definedName>
    <definedName name="T7?unit?ТГКАЛ">'[4]7'!$D$43:$S$50,'[4]7'!$D$14:$S$38</definedName>
    <definedName name="T8?axis?R?ПАР">'[4]8'!$G$11:$J$37,'[4]8'!$G$48:$J$74</definedName>
    <definedName name="T8?axis?R?ПАР?">'[4]8'!$E$11:$E$37,'[4]8'!$E$48:$E$74</definedName>
    <definedName name="T8?axis?R?ПОТ">'[4]8'!$G$11:$J$37,'[4]8'!$G$48:$J$74</definedName>
    <definedName name="T8?axis?R?ПОТ?">'[4]8'!$D$48:$D$74,'[4]8'!$D$11:$D$37</definedName>
    <definedName name="T8?axis?R?СЦТ">'[4]8'!$G$11:$J$37,'[4]8'!$G$48:$J$74</definedName>
    <definedName name="T8?axis?R?СЦТ?">'[4]8'!$C$11:$C$37,'[4]8'!$C$48:$C$74</definedName>
    <definedName name="T8?Data">'[4]8'!$G$11:$J$37,'[4]8'!$G$48:$J$74</definedName>
    <definedName name="T8?L3" localSheetId="2">'[4]8'!$I$48:$I$74,P1_T8?L3</definedName>
    <definedName name="T8?L3" localSheetId="6">'[4]8'!$I$48:$I$74,P1_T8?L3</definedName>
    <definedName name="T8?L3" localSheetId="8">'[4]8'!$I$48:$I$74,P1_T8?L3</definedName>
    <definedName name="T8?L3" localSheetId="13">'[4]8'!$I$48:$I$74,P1_T8?L3</definedName>
    <definedName name="T8?L3" localSheetId="15">'[4]8'!$I$48:$I$74,P1_T8?L3</definedName>
    <definedName name="T8?L4" localSheetId="2">'[4]8'!$J$48:$J$74,P1_T8?L4</definedName>
    <definedName name="T8?L4" localSheetId="6">'[4]8'!$J$48:$J$74,P1_T8?L4</definedName>
    <definedName name="T8?L4" localSheetId="8">'[4]8'!$J$48:$J$74,P1_T8?L4</definedName>
    <definedName name="T8?L4" localSheetId="13">'[4]8'!$J$48:$J$74,P1_T8?L4</definedName>
    <definedName name="T8?L4" localSheetId="15">'[4]8'!$J$48:$J$74,P1_T8?L4</definedName>
    <definedName name="T8?unit?ГКАЛ.Ч" localSheetId="2">'[4]8'!$I$48:$I$74,P1_T8?unit?ГКАЛ.Ч</definedName>
    <definedName name="T8?unit?ГКАЛ.Ч" localSheetId="6">'[4]8'!$I$48:$I$74,P1_T8?unit?ГКАЛ.Ч</definedName>
    <definedName name="T8?unit?ГКАЛ.Ч" localSheetId="8">'[4]8'!$I$48:$I$74,P1_T8?unit?ГКАЛ.Ч</definedName>
    <definedName name="T8?unit?ГКАЛ.Ч" localSheetId="13">'[4]8'!$I$48:$I$74,P1_T8?unit?ГКАЛ.Ч</definedName>
    <definedName name="T8?unit?ГКАЛ.Ч" localSheetId="15">'[4]8'!$I$48:$I$74,P1_T8?unit?ГКАЛ.Ч</definedName>
    <definedName name="T8?unit?ТГКАЛ" localSheetId="2">'[4]8'!$J$48:$J$74,P1_T8?unit?ТГКАЛ</definedName>
    <definedName name="T8?unit?ТГКАЛ" localSheetId="6">'[4]8'!$J$48:$J$74,P1_T8?unit?ТГКАЛ</definedName>
    <definedName name="T8?unit?ТГКАЛ" localSheetId="8">'[4]8'!$J$48:$J$74,P1_T8?unit?ТГКАЛ</definedName>
    <definedName name="T8?unit?ТГКАЛ" localSheetId="13">'[4]8'!$J$48:$J$74,P1_T8?unit?ТГКАЛ</definedName>
    <definedName name="T8?unit?ТГКАЛ" localSheetId="15">'[4]8'!$J$48:$J$74,P1_T8?unit?ТГКАЛ</definedName>
    <definedName name="T9?axis?R?ПЭ">'[4]9'!$D$10:$P$10,'[4]9'!$D$14:$P$14,'[4]9'!$D$23:$P$23,'[4]9'!$D$27:$P$27</definedName>
    <definedName name="T9?axis?R?ПЭ?">'[4]9'!$B$10:$B$10,'[4]9'!$B$14,'[4]9'!$B$23:$B$23,'[4]9'!$B$27</definedName>
    <definedName name="T9?axis?R?СЦТ">'[4]9'!$D$18:$P$18,'[4]9'!$D$31:$P$31</definedName>
    <definedName name="T9?axis?R?СЦТ?">'[4]9'!$B$18:$B$18,'[4]9'!$B$31:$B$31</definedName>
    <definedName name="T9?Data">'[4]9'!$D$10:$P$10,'[4]9'!$L$12:$P$12,'[4]9'!$L$14:$P$14,'[4]9'!$D$16:$P$16,'[4]9'!$D$18:$P$18,'[4]9'!$D$21:$P$21,'[4]9'!$D$23:$P$23,'[4]9'!$L$25:$P$25,'[4]9'!$L$27:$P$27,'[4]9'!$D$29:$P$29,'[4]9'!$D$31:$P$31,'[4]9'!$D$8:$P$8</definedName>
    <definedName name="T9?item_ext?ВСЕГО">'[4]9'!$D$16:$P$16,'[4]9'!$D$29:$P$29</definedName>
    <definedName name="T9?item_ext?КОТЕЛЬНЫЕ">'[4]9'!$D$25:$P$25,'[4]9'!$D$12:$P$12</definedName>
    <definedName name="T9?item_ext?СЦТ">'[4]9'!$D$18:$P$18,'[4]9'!$D$31:$P$31</definedName>
    <definedName name="T9?item_ext?ТЭС">'[4]9'!$D$21:$P$21,'[4]9'!$D$8:$P$8</definedName>
    <definedName name="T9?L10">'[4]9'!$K$18:$K$18,'[4]9'!$K$21,'[4]9'!$K$23:$K$23,'[4]9'!$K$29,'[4]9'!$K$31:$K$31,'[4]9'!$K$8,'[4]9'!$K$10:$K$10,'[4]9'!$K$16</definedName>
    <definedName name="T9?L11">'[4]9'!$L$14,'[4]9'!$L$16,'[4]9'!$L$18:$L$18,'[4]9'!$L$21,'[4]9'!$L$23:$L$23,'[4]9'!$L$25,'[4]9'!$L$27,'[4]9'!$L$29,'[4]9'!$L$31:$L$31,'[4]9'!$L$8,'[4]9'!$L$10:$L$10,'[4]9'!$L$12</definedName>
    <definedName name="T9?L12">'[4]9'!$M$14,'[4]9'!$M$16,'[4]9'!$M$18:$M$18,'[4]9'!$M$21,'[4]9'!$M$23:$M$23,'[4]9'!$M$25,'[4]9'!$M$27,'[4]9'!$M$29,'[4]9'!$M$31:$M$31,'[4]9'!$M$8,'[4]9'!$M$10:$M$10,'[4]9'!$M$12</definedName>
    <definedName name="T9?L13">'[4]9'!$N$14,'[4]9'!$N$16,'[4]9'!$N$18:$N$18,'[4]9'!$N$21,'[4]9'!$N$23:$N$23,'[4]9'!$N$25,'[4]9'!$N$27,'[4]9'!$N$29,'[4]9'!$N$31:$N$31,'[4]9'!$N$8,'[4]9'!$N$10:$N$10,'[4]9'!$N$12</definedName>
    <definedName name="T9?L14">'[4]9'!$O$14,'[4]9'!$O$16,'[4]9'!$O$18:$O$18,'[4]9'!$O$21,'[4]9'!$O$23:$O$23,'[4]9'!$O$25,'[4]9'!$O$27,'[4]9'!$O$29,'[4]9'!$O$31:$O$31,'[4]9'!$O$8,'[4]9'!$O$10:$O$10,'[4]9'!$O$12</definedName>
    <definedName name="T9?L15">'[4]9'!$P$14,'[4]9'!$P$16,'[4]9'!$P$18:$P$18,'[4]9'!$P$21,'[4]9'!$P$23:$P$23,'[4]9'!$P$25,'[4]9'!$P$27,'[4]9'!$P$29,'[4]9'!$P$31:$P$31,'[4]9'!$P$8,'[4]9'!$P$10:$P$10,'[4]9'!$P$12</definedName>
    <definedName name="T9?L3">'[4]9'!$D$18:$D$18,'[4]9'!$D$21,'[4]9'!$D$23:$D$23,'[4]9'!$D$29,'[4]9'!$D$31:$D$31,'[4]9'!$D$8,'[4]9'!$D$10:$D$10,'[4]9'!$D$16</definedName>
    <definedName name="T9?L4">'[4]9'!$E$18:$E$18,'[4]9'!$E$21,'[4]9'!$E$23:$E$23,'[4]9'!$E$29,'[4]9'!$E$31:$E$31,'[4]9'!$E$8,'[4]9'!$E$10:$E$10,'[4]9'!$E$16</definedName>
    <definedName name="T9?L5">'[4]9'!$F$18:$F$18,'[4]9'!$F$21,'[4]9'!$F$23:$F$23,'[4]9'!$F$29,'[4]9'!$F$31:$F$31,'[4]9'!$F$8,'[4]9'!$F$10:$F$10,'[4]9'!$F$16</definedName>
    <definedName name="T9?L6">'[4]9'!$G$18:$G$18,'[4]9'!$G$21,'[4]9'!$G$23:$G$23,'[4]9'!$G$29,'[4]9'!$G$31:$G$31,'[4]9'!$G$8,'[4]9'!$G$10:$G$10,'[4]9'!$G$16</definedName>
    <definedName name="T9?L7">'[4]9'!$H$18:$H$18,'[4]9'!$H$21,'[4]9'!$H$23:$H$23,'[4]9'!$H$29,'[4]9'!$H$31:$H$31,'[4]9'!$H$8,'[4]9'!$H$10:$H$10,'[4]9'!$H$16</definedName>
    <definedName name="T9?L8">'[4]9'!$I$18:$I$18,'[4]9'!$I$21,'[4]9'!$I$23:$I$23,'[4]9'!$I$29,'[4]9'!$I$31:$I$31,'[4]9'!$I$8,'[4]9'!$I$10:$I$10,'[4]9'!$I$16</definedName>
    <definedName name="T9?L9">'[4]9'!$J$18:$J$18,'[4]9'!$J$21,'[4]9'!$J$23:$J$23,'[4]9'!$J$29,'[4]9'!$J$31:$J$31,'[4]9'!$J$8,'[4]9'!$J$10:$J$10,'[4]9'!$J$16</definedName>
    <definedName name="T9?unit?Г.КВТЧ">'[4]9'!$N$7:$N$32,'[4]9'!$J$7:$J$32</definedName>
    <definedName name="T9?unit?МКВТЧ">'[4]9'!$D$7:$E$32,'[4]9'!$G$7:$G$32,'[4]9'!$I$7:$I$32</definedName>
    <definedName name="T9?unit?ПРЦ">'[4]9'!$F$7:$F$32,'[4]9'!$H$7:$H$32</definedName>
    <definedName name="T9?unit?ТТУТ">'[4]9'!$K$7:$K$32,'[4]9'!$O$7:$P$32</definedName>
    <definedName name="T99Data" localSheetId="2">'[4]10'!$D$16:$S$16,'[4]10'!$D$12:$S$13,P1_T10?Data</definedName>
    <definedName name="T99Data" localSheetId="6">'[4]10'!$D$16:$S$16,'[4]10'!$D$12:$S$13,P1_T10?Data</definedName>
    <definedName name="T99Data" localSheetId="8">'[4]10'!$D$16:$S$16,'[4]10'!$D$12:$S$13,P1_T10?Data</definedName>
    <definedName name="T99Data" localSheetId="13">'[4]10'!$D$16:$S$16,'[4]10'!$D$12:$S$13,P1_T10?Data</definedName>
    <definedName name="T99Data" localSheetId="15">'[4]10'!$D$16:$S$16,'[4]10'!$D$12:$S$13,P1_T10?Data</definedName>
    <definedName name="ToPaySaldo_6">'[3]Акт перетоков'!#REF!</definedName>
    <definedName name="TP2.1?Data">[4]P2.1!$F$7:$H$26,[4]P2.1!$H$27,[4]P2.1!$F$28:$H$37,[4]P2.1!$H$38:$H$39,[4]P2.1!$F$40:$H$43,[4]P2.1!$H$44</definedName>
    <definedName name="TP2.1?L5">[4]P2.1!$F$40:$F$43,[4]P2.1!$F$7:$F$26,[4]P2.1!$F$28:$F$37</definedName>
    <definedName name="TP2.1?L6">[4]P2.1!$G$7:$G$26,[4]P2.1!$G$40:$G$43,[4]P2.1!$G$28:$G$37</definedName>
    <definedName name="TP2.1?unit?КМ">[4]P2.1!$G$40:$G$43,[4]P2.1!$G$28:$G$37,[4]P2.1!$G$7:$G$26</definedName>
    <definedName name="TP2.1?unit?УЕ.100КМ">[4]P2.1!$F$28:$F$37,[4]P2.1!$F$40:$F$43,[4]P2.1!$F$7:$F$26</definedName>
    <definedName name="TP2.2?Data">[4]P2.2!$F$7:$H$47,[4]P2.2!$H$48:$H$51</definedName>
    <definedName name="wrn.Сравнение._.с._.отраслями." hidden="1">{#N/A,#N/A,TRUE,"Лист1";#N/A,#N/A,TRUE,"Лист2";#N/A,#N/A,TRUE,"Лист3"}</definedName>
    <definedName name="АААААААА">[1]стр.н!АААААААА</definedName>
    <definedName name="ап">[1]стр.н!ап</definedName>
    <definedName name="БазовыйПериод">[4]Заголовок!$B$15</definedName>
    <definedName name="в23ё" localSheetId="2">'2 месяца'!в23ё</definedName>
    <definedName name="в23ё" localSheetId="6">'4 месяца'!в23ё</definedName>
    <definedName name="в23ё" localSheetId="8">'5 месяцев'!в23ё</definedName>
    <definedName name="в23ё" localSheetId="13">'7 месяцев'!в23ё</definedName>
    <definedName name="в23ё" localSheetId="15">'8 месяцев'!в23ё</definedName>
    <definedName name="в23ё">'2 месяца'!в23ё</definedName>
    <definedName name="вв" localSheetId="2">'2 месяца'!вв</definedName>
    <definedName name="вв" localSheetId="6">'4 месяца'!вв</definedName>
    <definedName name="вв" localSheetId="8">'5 месяцев'!вв</definedName>
    <definedName name="вв" localSheetId="13">'7 месяцев'!вв</definedName>
    <definedName name="вв" localSheetId="15">'8 месяцев'!вв</definedName>
    <definedName name="вв">'2 месяца'!вв</definedName>
    <definedName name="второй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дд">[1]стр.н!ддд</definedName>
    <definedName name="декабрь">#REF!</definedName>
    <definedName name="епке">#REF!</definedName>
    <definedName name="индцкавг98" hidden="1">{#N/A,#N/A,TRUE,"Лист1";#N/A,#N/A,TRUE,"Лист2";#N/A,#N/A,TRUE,"Лист3"}</definedName>
    <definedName name="ирина">[1]стр.н!ирина</definedName>
    <definedName name="й" localSheetId="2">'2 месяца'!й</definedName>
    <definedName name="й" localSheetId="6">'4 месяца'!й</definedName>
    <definedName name="й" localSheetId="8">'5 месяцев'!й</definedName>
    <definedName name="й" localSheetId="13">'7 месяцев'!й</definedName>
    <definedName name="й" localSheetId="15">'8 месяцев'!й</definedName>
    <definedName name="й">'2 месяца'!й</definedName>
    <definedName name="йй" localSheetId="2">'2 месяца'!йй</definedName>
    <definedName name="йй" localSheetId="6">'4 месяца'!йй</definedName>
    <definedName name="йй" localSheetId="8">'5 месяцев'!йй</definedName>
    <definedName name="йй" localSheetId="13">'7 месяцев'!йй</definedName>
    <definedName name="йй" localSheetId="15">'8 месяцев'!йй</definedName>
    <definedName name="йй">'2 месяца'!йй</definedName>
    <definedName name="ке" localSheetId="2">'2 месяца'!ке</definedName>
    <definedName name="ке" localSheetId="6">'4 месяца'!ке</definedName>
    <definedName name="ке" localSheetId="8">'5 месяцев'!ке</definedName>
    <definedName name="ке" localSheetId="13">'7 месяцев'!ке</definedName>
    <definedName name="ке" localSheetId="15">'8 месяцев'!ке</definedName>
    <definedName name="ке">'2 месяца'!ке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ист51?prefix?">"СЦТ"</definedName>
    <definedName name="мым" localSheetId="2">'2 месяца'!мым</definedName>
    <definedName name="мым" localSheetId="6">'4 месяца'!мым</definedName>
    <definedName name="мым" localSheetId="8">'5 месяцев'!мым</definedName>
    <definedName name="мым" localSheetId="13">'7 месяцев'!мым</definedName>
    <definedName name="мым" localSheetId="15">'8 месяцев'!мым</definedName>
    <definedName name="мым">'2 месяца'!мым</definedName>
    <definedName name="_xlnm.Print_Area" localSheetId="4">'1 квартал'!$A$1:$O$192</definedName>
    <definedName name="_xlnm.Print_Area" localSheetId="19">'10 месяцев'!$A$1:$O$191</definedName>
    <definedName name="_xlnm.Print_Area" localSheetId="20">'11 месяцев'!$A$1:$O$191</definedName>
    <definedName name="_xlnm.Print_Area" localSheetId="10">'2 квартал'!$A$1:$O$191</definedName>
    <definedName name="_xlnm.Print_Area" localSheetId="2">'2 месяца'!$A$1:$O$191</definedName>
    <definedName name="_xlnm.Print_Area" localSheetId="21">'2 полугодие'!$A$1:$O$190</definedName>
    <definedName name="_xlnm.Print_Area" localSheetId="22">'2014г'!$A$1:$O$31</definedName>
    <definedName name="_xlnm.Print_Area" localSheetId="17">'3 квартал'!$A$1:$O$191</definedName>
    <definedName name="_xlnm.Print_Area" localSheetId="6">'4 месяца'!$A$1:$O$191</definedName>
    <definedName name="_xlnm.Print_Area" localSheetId="8">'5 месяцев'!$A$1:$O$191</definedName>
    <definedName name="_xlnm.Print_Area" localSheetId="11">'6 месяцев'!$A$1:$O$191</definedName>
    <definedName name="_xlnm.Print_Area" localSheetId="13">'7 месяцев'!$A$1:$O$191</definedName>
    <definedName name="_xlnm.Print_Area" localSheetId="15">'8 месяцев'!$A$1:$O$191</definedName>
    <definedName name="_xlnm.Print_Area" localSheetId="18">'9 месяцев'!$A$1:$O$191</definedName>
    <definedName name="_xlnm.Print_Area" localSheetId="14">август!$A$1:$O$189</definedName>
    <definedName name="_xlnm.Print_Area" localSheetId="5">апрель!$A$1:$O$189</definedName>
    <definedName name="_xlnm.Print_Area" localSheetId="12">июль!$A$1:$O$189</definedName>
    <definedName name="_xlnm.Print_Area" localSheetId="9">июнь!$A$1:$O$191</definedName>
    <definedName name="_xlnm.Print_Area" localSheetId="7">май!$A$1:$O$191</definedName>
    <definedName name="_xlnm.Print_Area" localSheetId="3">март!$A$1:$O$191</definedName>
    <definedName name="_xlnm.Print_Area" localSheetId="16">сентябрь!$A$1:$O$190</definedName>
    <definedName name="_xlnm.Print_Area" localSheetId="1">февраль!$A$1:$O$191</definedName>
    <definedName name="_xlnm.Print_Area" localSheetId="0">январь!$A$1:$O$191</definedName>
    <definedName name="ожид">'[3]Акт перетоков'!#REF!</definedName>
    <definedName name="ожидаемый">#REF!</definedName>
    <definedName name="первый">#REF!</definedName>
    <definedName name="прибыль3" hidden="1">{#N/A,#N/A,TRUE,"Лист1";#N/A,#N/A,TRUE,"Лист2";#N/A,#N/A,TRUE,"Лист3"}</definedName>
    <definedName name="прил1.2">[1]стр.н!прил1.2</definedName>
    <definedName name="Прилож3">[1]стр.н!Прилож3</definedName>
    <definedName name="Приложение8">[1]стр.н!Приложение8</definedName>
    <definedName name="р">[1]стр.н!р</definedName>
    <definedName name="рис1" hidden="1">{#N/A,#N/A,TRUE,"Лист1";#N/A,#N/A,TRUE,"Лист2";#N/A,#N/A,TRUE,"Лист3"}</definedName>
    <definedName name="ро">[1]стр.н!ро</definedName>
    <definedName name="ррр">#REF!</definedName>
    <definedName name="с" localSheetId="2">'2 месяца'!с</definedName>
    <definedName name="с" localSheetId="6">'4 месяца'!с</definedName>
    <definedName name="с" localSheetId="8">'5 месяцев'!с</definedName>
    <definedName name="с" localSheetId="13">'7 месяцев'!с</definedName>
    <definedName name="с" localSheetId="15">'8 месяцев'!с</definedName>
    <definedName name="с">'2 месяца'!с</definedName>
    <definedName name="смисмис">#REF!</definedName>
    <definedName name="сс" localSheetId="2">'2 месяца'!сс</definedName>
    <definedName name="сс" localSheetId="6">'4 месяца'!сс</definedName>
    <definedName name="сс" localSheetId="8">'5 месяцев'!сс</definedName>
    <definedName name="сс" localSheetId="13">'7 месяцев'!сс</definedName>
    <definedName name="сс" localSheetId="15">'8 месяцев'!сс</definedName>
    <definedName name="сс">'2 месяца'!сс</definedName>
    <definedName name="сссс" localSheetId="2">'2 месяца'!сссс</definedName>
    <definedName name="сссс" localSheetId="6">'4 месяца'!сссс</definedName>
    <definedName name="сссс" localSheetId="8">'5 месяцев'!сссс</definedName>
    <definedName name="сссс" localSheetId="13">'7 месяцев'!сссс</definedName>
    <definedName name="сссс" localSheetId="15">'8 месяцев'!сссс</definedName>
    <definedName name="сссс">'2 месяца'!сссс</definedName>
    <definedName name="ссы" localSheetId="2">'2 месяца'!ссы</definedName>
    <definedName name="ссы" localSheetId="6">'4 месяца'!ссы</definedName>
    <definedName name="ссы" localSheetId="8">'5 месяцев'!ссы</definedName>
    <definedName name="ссы" localSheetId="13">'7 месяцев'!ссы</definedName>
    <definedName name="ссы" localSheetId="15">'8 месяцев'!ссы</definedName>
    <definedName name="ссы">'2 месяца'!ссы</definedName>
    <definedName name="ссы2" localSheetId="2">'2 месяца'!ссы2</definedName>
    <definedName name="ссы2" localSheetId="6">'4 месяца'!ссы2</definedName>
    <definedName name="ссы2" localSheetId="8">'5 месяцев'!ссы2</definedName>
    <definedName name="ссы2" localSheetId="13">'7 месяцев'!ссы2</definedName>
    <definedName name="ссы2" localSheetId="15">'8 месяцев'!ссы2</definedName>
    <definedName name="тар">[1]стр.н!тар</definedName>
    <definedName name="ТАР2">[1]стр.н!ТАР2</definedName>
    <definedName name="Тариф3">[1]стр.н!Тариф3</definedName>
    <definedName name="тп" hidden="1">{#N/A,#N/A,TRUE,"Лист1";#N/A,#N/A,TRUE,"Лист2";#N/A,#N/A,TRUE,"Лист3"}</definedName>
    <definedName name="третий">#REF!</definedName>
    <definedName name="ТЭЦ">[1]стр.н!ТЭЦ</definedName>
    <definedName name="у" localSheetId="2">'2 месяца'!у</definedName>
    <definedName name="у" localSheetId="6">'4 месяца'!у</definedName>
    <definedName name="у" localSheetId="8">'5 месяцев'!у</definedName>
    <definedName name="у" localSheetId="13">'7 месяцев'!у</definedName>
    <definedName name="у" localSheetId="15">'8 месяцев'!у</definedName>
    <definedName name="у">'2 месяца'!у</definedName>
    <definedName name="ук">[1]стр.н!ук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орма">[1]стр.н!форма</definedName>
    <definedName name="ц" localSheetId="2">'2 месяца'!ц</definedName>
    <definedName name="ц" localSheetId="6">'4 месяца'!ц</definedName>
    <definedName name="ц" localSheetId="8">'5 месяцев'!ц</definedName>
    <definedName name="ц" localSheetId="13">'7 месяцев'!ц</definedName>
    <definedName name="ц" localSheetId="15">'8 месяцев'!ц</definedName>
    <definedName name="ц">'2 месяца'!ц</definedName>
    <definedName name="ц.">[1]стр.н!ц.</definedName>
    <definedName name="цу" localSheetId="2">'2 месяца'!цу</definedName>
    <definedName name="цу" localSheetId="6">'4 месяца'!цу</definedName>
    <definedName name="цу" localSheetId="8">'5 месяцев'!цу</definedName>
    <definedName name="цу" localSheetId="13">'7 месяцев'!цу</definedName>
    <definedName name="цу" localSheetId="15">'8 месяцев'!цу</definedName>
    <definedName name="цу">'2 месяца'!цу</definedName>
    <definedName name="четвертый">#REF!</definedName>
    <definedName name="щ">[1]стр.н!щ</definedName>
    <definedName name="ъ">[1]стр.н!ъ</definedName>
    <definedName name="ыв" localSheetId="2">'2 месяца'!ыв</definedName>
    <definedName name="ыв" localSheetId="6">'4 месяца'!ыв</definedName>
    <definedName name="ыв" localSheetId="8">'5 месяцев'!ыв</definedName>
    <definedName name="ыв" localSheetId="13">'7 месяцев'!ыв</definedName>
    <definedName name="ыв" localSheetId="15">'8 месяцев'!ыв</definedName>
    <definedName name="ыв">'2 месяца'!ыв</definedName>
    <definedName name="ыпа">#REF!</definedName>
    <definedName name="ыуаы" hidden="1">{#N/A,#N/A,TRUE,"Лист1";#N/A,#N/A,TRUE,"Лист2";#N/A,#N/A,TRUE,"Лист3"}</definedName>
    <definedName name="ыыыы" localSheetId="2">'2 месяца'!ыыыы</definedName>
    <definedName name="ыыыы" localSheetId="6">'4 месяца'!ыыыы</definedName>
    <definedName name="ыыыы" localSheetId="8">'5 месяцев'!ыыыы</definedName>
    <definedName name="ыыыы" localSheetId="13">'7 месяцев'!ыыыы</definedName>
    <definedName name="ыыыы" localSheetId="15">'8 месяцев'!ыыыы</definedName>
    <definedName name="ыыыы">'2 месяца'!ыыыы</definedName>
    <definedName name="январь">#REF!</definedName>
  </definedNames>
  <calcPr calcId="125725"/>
</workbook>
</file>

<file path=xl/calcChain.xml><?xml version="1.0" encoding="utf-8"?>
<calcChain xmlns="http://schemas.openxmlformats.org/spreadsheetml/2006/main">
  <c r="I26" i="25"/>
  <c r="H26"/>
  <c r="G26"/>
  <c r="F26"/>
  <c r="E26"/>
  <c r="D26" s="1"/>
  <c r="F22"/>
  <c r="D22"/>
  <c r="I18"/>
  <c r="H18"/>
  <c r="G18"/>
  <c r="F18"/>
  <c r="E18"/>
  <c r="D18" s="1"/>
  <c r="I17"/>
  <c r="H17"/>
  <c r="H15" s="1"/>
  <c r="G17"/>
  <c r="F17"/>
  <c r="F15" s="1"/>
  <c r="E17"/>
  <c r="I16"/>
  <c r="D16" s="1"/>
  <c r="G14"/>
  <c r="F14"/>
  <c r="H14"/>
  <c r="I10"/>
  <c r="I11"/>
  <c r="I9"/>
  <c r="G9"/>
  <c r="F9"/>
  <c r="H7"/>
  <c r="F7"/>
  <c r="I7"/>
  <c r="E7"/>
  <c r="I8"/>
  <c r="H8"/>
  <c r="E8"/>
  <c r="G6"/>
  <c r="I15" l="1"/>
  <c r="G15"/>
  <c r="I12"/>
  <c r="I14"/>
  <c r="E15"/>
  <c r="D15" s="1"/>
  <c r="E6"/>
  <c r="I6"/>
  <c r="H9"/>
  <c r="H12" s="1"/>
  <c r="E14"/>
  <c r="D14" s="1"/>
  <c r="D17"/>
  <c r="D7"/>
  <c r="E12"/>
  <c r="I30"/>
  <c r="I27"/>
  <c r="I20"/>
  <c r="I19"/>
  <c r="F6"/>
  <c r="H6"/>
  <c r="G7"/>
  <c r="D9" l="1"/>
  <c r="H20"/>
  <c r="H27"/>
  <c r="H30"/>
  <c r="D6"/>
  <c r="G10"/>
  <c r="H10"/>
  <c r="H19" s="1"/>
  <c r="F10"/>
  <c r="D10" s="1"/>
  <c r="G11"/>
  <c r="F11"/>
  <c r="I29"/>
  <c r="I23"/>
  <c r="I25" s="1"/>
  <c r="I13"/>
  <c r="F8"/>
  <c r="E30"/>
  <c r="E27"/>
  <c r="E20"/>
  <c r="E19"/>
  <c r="E29" l="1"/>
  <c r="E23"/>
  <c r="E13"/>
  <c r="F12"/>
  <c r="I31"/>
  <c r="I28"/>
  <c r="I21"/>
  <c r="H23"/>
  <c r="H25" s="1"/>
  <c r="H13"/>
  <c r="H29"/>
  <c r="G8"/>
  <c r="G12" s="1"/>
  <c r="H11"/>
  <c r="D11" s="1"/>
  <c r="G30" l="1"/>
  <c r="G27"/>
  <c r="G20"/>
  <c r="G19"/>
  <c r="D8"/>
  <c r="D12" s="1"/>
  <c r="E31"/>
  <c r="E28"/>
  <c r="E21"/>
  <c r="H21"/>
  <c r="H31"/>
  <c r="H28"/>
  <c r="F20"/>
  <c r="F19"/>
  <c r="F30"/>
  <c r="F27"/>
  <c r="E25"/>
  <c r="G29" l="1"/>
  <c r="G23"/>
  <c r="G25" s="1"/>
  <c r="G13"/>
  <c r="F23"/>
  <c r="F13"/>
  <c r="F29"/>
  <c r="D29" s="1"/>
  <c r="D19"/>
  <c r="D20"/>
  <c r="D13"/>
  <c r="D30"/>
  <c r="D27"/>
  <c r="D21" l="1"/>
  <c r="D31"/>
  <c r="D28"/>
  <c r="F21"/>
  <c r="F31"/>
  <c r="F28"/>
  <c r="F25"/>
  <c r="D25" s="1"/>
  <c r="D24" s="1"/>
  <c r="D23"/>
  <c r="G31"/>
  <c r="G28"/>
  <c r="G21"/>
  <c r="O145" i="33" l="1"/>
  <c r="O143" i="18" l="1"/>
  <c r="O47"/>
  <c r="L47" l="1"/>
  <c r="L154" l="1"/>
  <c r="F154"/>
  <c r="M73" l="1"/>
  <c r="N71" l="1"/>
  <c r="N73"/>
  <c r="J179" l="1"/>
  <c r="K46"/>
  <c r="N47"/>
  <c r="O46"/>
  <c r="M47"/>
  <c r="M46" s="1"/>
  <c r="L46"/>
  <c r="I46" l="1"/>
  <c r="H46"/>
  <c r="G46"/>
  <c r="F46"/>
  <c r="E46"/>
  <c r="N59" l="1"/>
  <c r="N46" s="1"/>
  <c r="J46" s="1"/>
  <c r="L154" i="15" l="1"/>
  <c r="F154"/>
  <c r="O47" l="1"/>
  <c r="N50" l="1"/>
  <c r="L47"/>
  <c r="M47" l="1"/>
  <c r="N47"/>
  <c r="M73"/>
  <c r="N73"/>
  <c r="O59"/>
  <c r="N59"/>
  <c r="N59" i="19" s="1"/>
  <c r="N71" i="15"/>
  <c r="I71" i="29"/>
  <c r="J73" i="15" l="1"/>
  <c r="L154" i="13" l="1"/>
  <c r="F154"/>
  <c r="J179" i="29" l="1"/>
  <c r="M46" i="13"/>
  <c r="L46"/>
  <c r="K46"/>
  <c r="J179"/>
  <c r="N50"/>
  <c r="N71" l="1"/>
  <c r="N46" s="1"/>
  <c r="O71"/>
  <c r="O71" i="19" l="1"/>
  <c r="O46" i="13"/>
  <c r="J46" s="1"/>
  <c r="N73" l="1"/>
  <c r="M73"/>
  <c r="O131" i="19" l="1"/>
  <c r="O131" i="31" s="1"/>
  <c r="N131" i="19"/>
  <c r="N131" i="31" s="1"/>
  <c r="I131" i="19"/>
  <c r="I131" i="31" s="1"/>
  <c r="H131" i="19"/>
  <c r="H131" i="31" s="1"/>
  <c r="O131" i="29"/>
  <c r="O131" i="30" s="1"/>
  <c r="N131" i="29"/>
  <c r="N131" i="30" s="1"/>
  <c r="I131" i="29"/>
  <c r="I131" i="30" s="1"/>
  <c r="H131" i="29"/>
  <c r="H131" i="30" s="1"/>
  <c r="K46" i="33"/>
  <c r="D46" i="18"/>
  <c r="O46" i="15"/>
  <c r="N46"/>
  <c r="M46"/>
  <c r="L46"/>
  <c r="K46"/>
  <c r="I46"/>
  <c r="E46"/>
  <c r="K46" i="10"/>
  <c r="I46"/>
  <c r="E46"/>
  <c r="K46" i="8"/>
  <c r="I46"/>
  <c r="E46"/>
  <c r="K46" i="6"/>
  <c r="I46"/>
  <c r="E46"/>
  <c r="M46" i="4"/>
  <c r="K46"/>
  <c r="I46"/>
  <c r="H46"/>
  <c r="G46"/>
  <c r="F46"/>
  <c r="E46"/>
  <c r="D46" s="1"/>
  <c r="K46" i="3"/>
  <c r="I46"/>
  <c r="E46"/>
  <c r="O46" i="2"/>
  <c r="N46"/>
  <c r="M46"/>
  <c r="L46"/>
  <c r="K46"/>
  <c r="J46" s="1"/>
  <c r="I46"/>
  <c r="E46"/>
  <c r="I46" i="13"/>
  <c r="E46"/>
  <c r="J142" i="31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42" i="33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42" i="32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42" i="20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42" i="19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18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30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D131"/>
  <c r="J142" i="15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29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11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12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10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28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8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27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6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1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4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26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3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2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42" i="13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D131" i="31" l="1"/>
  <c r="I131" i="20"/>
  <c r="H131"/>
  <c r="J46" i="15"/>
  <c r="J131" i="30"/>
  <c r="J131" i="31"/>
  <c r="O131" i="20"/>
  <c r="N131"/>
  <c r="H131" i="32" l="1"/>
  <c r="D131" i="20"/>
  <c r="I131" i="32"/>
  <c r="I131" i="33" s="1"/>
  <c r="O131" i="32"/>
  <c r="N131"/>
  <c r="J131" i="20"/>
  <c r="J179" i="10"/>
  <c r="H131" i="33" l="1"/>
  <c r="D131" s="1"/>
  <c r="D131" i="32"/>
  <c r="N131" i="33"/>
  <c r="J131" i="32"/>
  <c r="O131" i="33"/>
  <c r="O71" i="12"/>
  <c r="L154" i="10"/>
  <c r="F154"/>
  <c r="O71" i="11" l="1"/>
  <c r="O71" i="29" s="1"/>
  <c r="O71" i="30" s="1"/>
  <c r="O71" i="20"/>
  <c r="J131" i="33"/>
  <c r="O47" i="10"/>
  <c r="O71" i="32" l="1"/>
  <c r="O71" i="33" s="1"/>
  <c r="N47" i="10"/>
  <c r="M47" l="1"/>
  <c r="M46" s="1"/>
  <c r="L47"/>
  <c r="L46" s="1"/>
  <c r="O59"/>
  <c r="O46" s="1"/>
  <c r="N59"/>
  <c r="N46" s="1"/>
  <c r="N59" i="31"/>
  <c r="N98" i="19"/>
  <c r="N97"/>
  <c r="N95"/>
  <c r="N98" i="12"/>
  <c r="N97"/>
  <c r="N97" i="31"/>
  <c r="J46" i="10" l="1"/>
  <c r="N98" i="31"/>
  <c r="H121" i="28"/>
  <c r="H119"/>
  <c r="J179"/>
  <c r="D179"/>
  <c r="J185" i="8"/>
  <c r="J184"/>
  <c r="J183"/>
  <c r="J182"/>
  <c r="J181"/>
  <c r="J179"/>
  <c r="N47" l="1"/>
  <c r="N46" s="1"/>
  <c r="L47"/>
  <c r="L46" s="1"/>
  <c r="O47"/>
  <c r="O46" s="1"/>
  <c r="M47" l="1"/>
  <c r="M46" s="1"/>
  <c r="J46" s="1"/>
  <c r="L154" i="6" l="1"/>
  <c r="F154"/>
  <c r="N47" l="1"/>
  <c r="O47"/>
  <c r="M47" l="1"/>
  <c r="M46" s="1"/>
  <c r="L47"/>
  <c r="L46" s="1"/>
  <c r="H121" i="19" l="1"/>
  <c r="H121" i="31" s="1"/>
  <c r="H119" i="19"/>
  <c r="N121"/>
  <c r="N119"/>
  <c r="H121" i="12"/>
  <c r="H121" i="20" s="1"/>
  <c r="H119" i="12"/>
  <c r="H119" i="20" s="1"/>
  <c r="N121" i="12"/>
  <c r="N119"/>
  <c r="N121" i="27"/>
  <c r="N121" i="28" s="1"/>
  <c r="N119" i="27"/>
  <c r="N119" i="28" s="1"/>
  <c r="N121" i="31" l="1"/>
  <c r="N119"/>
  <c r="H119"/>
  <c r="N121" i="20"/>
  <c r="N121" i="32" s="1"/>
  <c r="N121" i="33" s="1"/>
  <c r="N119" i="20"/>
  <c r="H121" i="32"/>
  <c r="H121" i="33" s="1"/>
  <c r="H119" i="32"/>
  <c r="H121" i="11"/>
  <c r="H121" i="29" s="1"/>
  <c r="H121" i="30" s="1"/>
  <c r="H119" i="11"/>
  <c r="H119" i="29" s="1"/>
  <c r="H119" i="30" s="1"/>
  <c r="N121" i="11"/>
  <c r="N121" i="29" s="1"/>
  <c r="N121" i="30" s="1"/>
  <c r="N119" i="11"/>
  <c r="N119" i="29" s="1"/>
  <c r="N119" i="30" s="1"/>
  <c r="H78" i="13"/>
  <c r="G78"/>
  <c r="I145" i="29"/>
  <c r="I145" i="30"/>
  <c r="J185" i="31"/>
  <c r="D185"/>
  <c r="J184"/>
  <c r="D184"/>
  <c r="J183"/>
  <c r="D183"/>
  <c r="J182"/>
  <c r="D182"/>
  <c r="J181"/>
  <c r="D181"/>
  <c r="J179"/>
  <c r="D179"/>
  <c r="I172"/>
  <c r="J185" i="33"/>
  <c r="D185"/>
  <c r="J184"/>
  <c r="D184"/>
  <c r="J183"/>
  <c r="D183"/>
  <c r="J182"/>
  <c r="D182"/>
  <c r="J181"/>
  <c r="D181"/>
  <c r="J179"/>
  <c r="D179"/>
  <c r="I172"/>
  <c r="J185" i="32"/>
  <c r="D185"/>
  <c r="J184"/>
  <c r="D184"/>
  <c r="J183"/>
  <c r="D183"/>
  <c r="J182"/>
  <c r="D182"/>
  <c r="J181"/>
  <c r="D181"/>
  <c r="J179"/>
  <c r="D179"/>
  <c r="I172"/>
  <c r="J185" i="20"/>
  <c r="D185"/>
  <c r="J184"/>
  <c r="D184"/>
  <c r="J183"/>
  <c r="D183"/>
  <c r="J182"/>
  <c r="D182"/>
  <c r="J181"/>
  <c r="D181"/>
  <c r="J179"/>
  <c r="D179"/>
  <c r="I172"/>
  <c r="J185" i="19"/>
  <c r="D185"/>
  <c r="J184"/>
  <c r="D184"/>
  <c r="J183"/>
  <c r="D183"/>
  <c r="J182"/>
  <c r="D182"/>
  <c r="J181"/>
  <c r="D181"/>
  <c r="J179"/>
  <c r="D179"/>
  <c r="I172"/>
  <c r="J185" i="18"/>
  <c r="D185"/>
  <c r="J184"/>
  <c r="D184"/>
  <c r="J183"/>
  <c r="D183"/>
  <c r="J182"/>
  <c r="D182"/>
  <c r="J181"/>
  <c r="D181"/>
  <c r="D179"/>
  <c r="J185" i="30"/>
  <c r="D185"/>
  <c r="J184"/>
  <c r="D184"/>
  <c r="J183"/>
  <c r="D183"/>
  <c r="J182"/>
  <c r="D182"/>
  <c r="J181"/>
  <c r="D181"/>
  <c r="J179"/>
  <c r="D179"/>
  <c r="J185" i="15"/>
  <c r="D185"/>
  <c r="J184"/>
  <c r="D184"/>
  <c r="J183"/>
  <c r="D183"/>
  <c r="J182"/>
  <c r="D182"/>
  <c r="J181"/>
  <c r="D181"/>
  <c r="J179"/>
  <c r="D179"/>
  <c r="J185" i="29"/>
  <c r="D185"/>
  <c r="J184"/>
  <c r="D184"/>
  <c r="J183"/>
  <c r="D183"/>
  <c r="J182"/>
  <c r="D182"/>
  <c r="J181"/>
  <c r="D181"/>
  <c r="D179"/>
  <c r="J185" i="13"/>
  <c r="D185"/>
  <c r="J184"/>
  <c r="D184"/>
  <c r="J183"/>
  <c r="D183"/>
  <c r="J182"/>
  <c r="D182"/>
  <c r="J181"/>
  <c r="D181"/>
  <c r="D179"/>
  <c r="J185" i="11"/>
  <c r="D185"/>
  <c r="J184"/>
  <c r="D184"/>
  <c r="J183"/>
  <c r="D183"/>
  <c r="J182"/>
  <c r="D182"/>
  <c r="J181"/>
  <c r="D181"/>
  <c r="J179"/>
  <c r="D179"/>
  <c r="J185" i="12"/>
  <c r="D185"/>
  <c r="J184"/>
  <c r="D184"/>
  <c r="J183"/>
  <c r="D183"/>
  <c r="J182"/>
  <c r="D182"/>
  <c r="J181"/>
  <c r="D181"/>
  <c r="J179"/>
  <c r="D179"/>
  <c r="I172"/>
  <c r="J185" i="10"/>
  <c r="D185"/>
  <c r="J184"/>
  <c r="D184"/>
  <c r="J183"/>
  <c r="D183"/>
  <c r="J182"/>
  <c r="D182"/>
  <c r="J181"/>
  <c r="D181"/>
  <c r="D179"/>
  <c r="J185" i="28"/>
  <c r="D185"/>
  <c r="J184"/>
  <c r="D184"/>
  <c r="J183"/>
  <c r="D183"/>
  <c r="J182"/>
  <c r="D182"/>
  <c r="J181"/>
  <c r="D181"/>
  <c r="D185" i="8"/>
  <c r="D184"/>
  <c r="D183"/>
  <c r="D182"/>
  <c r="D181"/>
  <c r="D179"/>
  <c r="J185" i="27"/>
  <c r="D185"/>
  <c r="J184"/>
  <c r="D184"/>
  <c r="J183"/>
  <c r="D183"/>
  <c r="J182"/>
  <c r="D182"/>
  <c r="J181"/>
  <c r="D181"/>
  <c r="J179"/>
  <c r="D179"/>
  <c r="J185" i="6"/>
  <c r="D185"/>
  <c r="J184"/>
  <c r="D184"/>
  <c r="J183"/>
  <c r="D183"/>
  <c r="J182"/>
  <c r="D182"/>
  <c r="J181"/>
  <c r="D181"/>
  <c r="J179"/>
  <c r="D179"/>
  <c r="J185" i="1"/>
  <c r="D185"/>
  <c r="J184"/>
  <c r="D184"/>
  <c r="J183"/>
  <c r="D183"/>
  <c r="J182"/>
  <c r="D182"/>
  <c r="J181"/>
  <c r="D181"/>
  <c r="J179"/>
  <c r="D179"/>
  <c r="I172"/>
  <c r="J185" i="4"/>
  <c r="D185"/>
  <c r="J184"/>
  <c r="D184"/>
  <c r="J183"/>
  <c r="D183"/>
  <c r="J182"/>
  <c r="D182"/>
  <c r="J181"/>
  <c r="D181"/>
  <c r="J179"/>
  <c r="D179"/>
  <c r="J185" i="26"/>
  <c r="D185"/>
  <c r="J184"/>
  <c r="D184"/>
  <c r="J183"/>
  <c r="D183"/>
  <c r="J182"/>
  <c r="D182"/>
  <c r="J181"/>
  <c r="D181"/>
  <c r="J179"/>
  <c r="D179"/>
  <c r="J185" i="3"/>
  <c r="D185"/>
  <c r="J184"/>
  <c r="D184"/>
  <c r="J183"/>
  <c r="D183"/>
  <c r="J182"/>
  <c r="D182"/>
  <c r="J181"/>
  <c r="D181"/>
  <c r="J179"/>
  <c r="D179"/>
  <c r="J185" i="2"/>
  <c r="D185"/>
  <c r="J184"/>
  <c r="D184"/>
  <c r="J183"/>
  <c r="D183"/>
  <c r="J182"/>
  <c r="D182"/>
  <c r="J181"/>
  <c r="D181"/>
  <c r="J179"/>
  <c r="D179"/>
  <c r="N119" i="32" l="1"/>
  <c r="H119" i="33"/>
  <c r="N119" l="1"/>
  <c r="J130" i="31" l="1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33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32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20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19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18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30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15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29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13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11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12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10"/>
  <c r="D130"/>
  <c r="J129"/>
  <c r="D129"/>
  <c r="J128"/>
  <c r="D128"/>
  <c r="J127"/>
  <c r="D127"/>
  <c r="J126"/>
  <c r="J125"/>
  <c r="D125"/>
  <c r="J124"/>
  <c r="D124"/>
  <c r="J123"/>
  <c r="D123"/>
  <c r="J122"/>
  <c r="D122"/>
  <c r="J121"/>
  <c r="D121"/>
  <c r="J120"/>
  <c r="D120"/>
  <c r="J119"/>
  <c r="D119"/>
  <c r="J130" i="28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8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27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6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1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4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26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3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30" i="2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O59" i="6" l="1"/>
  <c r="N59"/>
  <c r="N59" i="12" l="1"/>
  <c r="N46" i="6"/>
  <c r="O59" i="12"/>
  <c r="O46" i="6"/>
  <c r="L154" i="4"/>
  <c r="F154"/>
  <c r="J46" i="6" l="1"/>
  <c r="O47" i="4"/>
  <c r="N109" i="19" l="1"/>
  <c r="N107"/>
  <c r="H109"/>
  <c r="H107"/>
  <c r="H109" i="31"/>
  <c r="H107"/>
  <c r="N109" i="12"/>
  <c r="N107"/>
  <c r="H109"/>
  <c r="H107"/>
  <c r="N107" i="31" l="1"/>
  <c r="N109"/>
  <c r="N109" i="26"/>
  <c r="N107"/>
  <c r="H109"/>
  <c r="H107"/>
  <c r="J118" i="31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J118" i="33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8"/>
  <c r="D108"/>
  <c r="J118" i="32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8"/>
  <c r="D108"/>
  <c r="J118" i="20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8"/>
  <c r="D108"/>
  <c r="J118" i="19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J118" i="18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J118" i="30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8"/>
  <c r="D108"/>
  <c r="J118" i="15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J118" i="29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8"/>
  <c r="D108"/>
  <c r="J118" i="13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J118" i="11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8"/>
  <c r="D108"/>
  <c r="J118" i="12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J118" i="10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J118" i="28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8"/>
  <c r="D108"/>
  <c r="J118" i="8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J118" i="27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8"/>
  <c r="D108"/>
  <c r="J118" i="6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J118" i="26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N194" i="1" l="1"/>
  <c r="O194"/>
  <c r="N97"/>
  <c r="I47"/>
  <c r="I145"/>
  <c r="I144"/>
  <c r="I147"/>
  <c r="H147"/>
  <c r="G147"/>
  <c r="F147"/>
  <c r="E147"/>
  <c r="I146"/>
  <c r="H146"/>
  <c r="G146"/>
  <c r="F146"/>
  <c r="E146"/>
  <c r="H57"/>
  <c r="N57"/>
  <c r="N54"/>
  <c r="J54" s="1"/>
  <c r="I53"/>
  <c r="O53"/>
  <c r="N53"/>
  <c r="M53"/>
  <c r="H54"/>
  <c r="G53"/>
  <c r="H50"/>
  <c r="H49"/>
  <c r="J58"/>
  <c r="J57"/>
  <c r="J56"/>
  <c r="J55"/>
  <c r="J53"/>
  <c r="J52"/>
  <c r="J51"/>
  <c r="J48"/>
  <c r="H109"/>
  <c r="H107"/>
  <c r="N109"/>
  <c r="N107"/>
  <c r="J118" i="3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J118" i="2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J118" i="1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D57"/>
  <c r="D56"/>
  <c r="D55"/>
  <c r="D54"/>
  <c r="D52"/>
  <c r="D51"/>
  <c r="D50"/>
  <c r="D49"/>
  <c r="D48"/>
  <c r="N49" i="4"/>
  <c r="N47" s="1"/>
  <c r="J118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N49" i="1" l="1"/>
  <c r="J49" s="1"/>
  <c r="N97" i="27"/>
  <c r="N97" i="28" s="1"/>
  <c r="N97" i="20"/>
  <c r="N97" i="32" s="1"/>
  <c r="N97" i="33" s="1"/>
  <c r="N97" i="11"/>
  <c r="N97" i="29" s="1"/>
  <c r="N97" i="30" s="1"/>
  <c r="N109" i="20"/>
  <c r="N109" i="27"/>
  <c r="N109" i="11"/>
  <c r="H109" i="20"/>
  <c r="H109" i="11"/>
  <c r="H109" i="27"/>
  <c r="N107" i="20"/>
  <c r="N107" i="11"/>
  <c r="N107" i="27"/>
  <c r="H107" i="20"/>
  <c r="H107" i="11"/>
  <c r="H107" i="27"/>
  <c r="O59" i="4"/>
  <c r="O46" s="1"/>
  <c r="N59"/>
  <c r="N46" s="1"/>
  <c r="L47"/>
  <c r="L46" s="1"/>
  <c r="H97" i="26"/>
  <c r="N50" i="3"/>
  <c r="N50" i="1" s="1"/>
  <c r="J50" s="1"/>
  <c r="L154" i="3"/>
  <c r="F154"/>
  <c r="J46" i="4" l="1"/>
  <c r="H107" i="29"/>
  <c r="D107" i="11"/>
  <c r="N107" i="28"/>
  <c r="J107" s="1"/>
  <c r="J107" i="27"/>
  <c r="N107" i="32"/>
  <c r="J107" i="20"/>
  <c r="H109" i="29"/>
  <c r="D109" i="11"/>
  <c r="J109"/>
  <c r="N109" i="29"/>
  <c r="J109" i="20"/>
  <c r="N109" i="32"/>
  <c r="D107" i="27"/>
  <c r="H107" i="28"/>
  <c r="D107" s="1"/>
  <c r="H107" i="32"/>
  <c r="D107" i="20"/>
  <c r="N107" i="29"/>
  <c r="J107" i="11"/>
  <c r="H109" i="28"/>
  <c r="D109" s="1"/>
  <c r="D109" i="27"/>
  <c r="H109" i="32"/>
  <c r="D109" i="20"/>
  <c r="N109" i="28"/>
  <c r="J109" s="1"/>
  <c r="J109" i="27"/>
  <c r="N47" i="3"/>
  <c r="H109" i="33" l="1"/>
  <c r="D109" s="1"/>
  <c r="D109" i="32"/>
  <c r="N109" i="30"/>
  <c r="J109" s="1"/>
  <c r="J109" i="29"/>
  <c r="H107" i="30"/>
  <c r="D107" s="1"/>
  <c r="D107" i="29"/>
  <c r="N107" i="30"/>
  <c r="J107" s="1"/>
  <c r="J107" i="29"/>
  <c r="H107" i="33"/>
  <c r="D107" s="1"/>
  <c r="D107" i="32"/>
  <c r="N109" i="33"/>
  <c r="J109" s="1"/>
  <c r="J109" i="32"/>
  <c r="H109" i="30"/>
  <c r="D109" s="1"/>
  <c r="D109" i="29"/>
  <c r="N107" i="33"/>
  <c r="J107" s="1"/>
  <c r="J107" i="32"/>
  <c r="N47" i="1"/>
  <c r="O47" i="3"/>
  <c r="L47"/>
  <c r="L46" s="1"/>
  <c r="M47"/>
  <c r="M46" s="1"/>
  <c r="O59"/>
  <c r="N59"/>
  <c r="N46" s="1"/>
  <c r="L154" i="2"/>
  <c r="F154"/>
  <c r="O46" i="3" l="1"/>
  <c r="J46" s="1"/>
  <c r="P50"/>
  <c r="M47" i="1"/>
  <c r="O47"/>
  <c r="L47"/>
  <c r="N73" i="2"/>
  <c r="M73"/>
  <c r="J47" i="1" l="1"/>
  <c r="H47" i="15" l="1"/>
  <c r="H46" s="1"/>
  <c r="G47"/>
  <c r="G46" s="1"/>
  <c r="F47"/>
  <c r="F46" s="1"/>
  <c r="H47" i="13"/>
  <c r="H46" s="1"/>
  <c r="G47"/>
  <c r="G46" s="1"/>
  <c r="F47"/>
  <c r="F46" s="1"/>
  <c r="D46" s="1"/>
  <c r="H47" i="10"/>
  <c r="H46" s="1"/>
  <c r="G47"/>
  <c r="G46" s="1"/>
  <c r="F47"/>
  <c r="F46" s="1"/>
  <c r="H47" i="8"/>
  <c r="H46" s="1"/>
  <c r="G47"/>
  <c r="G46" s="1"/>
  <c r="F47"/>
  <c r="F46" s="1"/>
  <c r="D46" s="1"/>
  <c r="H47" i="6"/>
  <c r="H46" s="1"/>
  <c r="G47"/>
  <c r="G46" s="1"/>
  <c r="F47"/>
  <c r="F46" s="1"/>
  <c r="H47" i="3"/>
  <c r="H46" s="1"/>
  <c r="G47"/>
  <c r="G46" s="1"/>
  <c r="F47"/>
  <c r="F46" s="1"/>
  <c r="D46" s="1"/>
  <c r="H47" i="2"/>
  <c r="H46" s="1"/>
  <c r="G47"/>
  <c r="G46" s="1"/>
  <c r="F47"/>
  <c r="F46" s="1"/>
  <c r="H53" i="18"/>
  <c r="H53" i="15"/>
  <c r="H53" i="10"/>
  <c r="H53" i="8"/>
  <c r="H53" i="6"/>
  <c r="H53" i="4"/>
  <c r="H53" i="2"/>
  <c r="H53" i="1" s="1"/>
  <c r="D53" s="1"/>
  <c r="H78" i="4"/>
  <c r="H78" i="3"/>
  <c r="G78" i="6"/>
  <c r="H78" i="8"/>
  <c r="H78" i="10"/>
  <c r="G78" i="18"/>
  <c r="H78" i="15"/>
  <c r="G78"/>
  <c r="D46" i="2" l="1"/>
  <c r="D46" i="6"/>
  <c r="D46" i="10"/>
  <c r="D46" i="15"/>
  <c r="G47" i="1"/>
  <c r="F47"/>
  <c r="H47"/>
  <c r="D47" l="1"/>
  <c r="H73" i="18" l="1"/>
  <c r="G73"/>
  <c r="H73" i="15"/>
  <c r="G73"/>
  <c r="H73" i="3" l="1"/>
  <c r="G73"/>
  <c r="H73" i="2"/>
  <c r="G73"/>
  <c r="F12" l="1"/>
  <c r="G12"/>
  <c r="H97" i="19" l="1"/>
  <c r="H97" i="12"/>
  <c r="H97" i="1"/>
  <c r="H97" i="27" s="1"/>
  <c r="H97" i="28" s="1"/>
  <c r="H97" i="31" l="1"/>
  <c r="H97" i="11"/>
  <c r="H97" i="29" s="1"/>
  <c r="H97" i="30" s="1"/>
  <c r="H97" i="20"/>
  <c r="H97" i="32" l="1"/>
  <c r="H97" i="33" s="1"/>
  <c r="H73" i="13"/>
  <c r="G73"/>
  <c r="N73" i="8"/>
  <c r="M73"/>
  <c r="H73"/>
  <c r="G73"/>
  <c r="H73" i="10"/>
  <c r="G73"/>
  <c r="N73" i="6"/>
  <c r="M73"/>
  <c r="H73"/>
  <c r="G73"/>
  <c r="N73" i="4"/>
  <c r="M73"/>
  <c r="H73"/>
  <c r="G73"/>
  <c r="D47" i="2" l="1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E143"/>
  <c r="F143"/>
  <c r="F180" s="1"/>
  <c r="G143"/>
  <c r="G180" s="1"/>
  <c r="H143"/>
  <c r="H180" s="1"/>
  <c r="I143"/>
  <c r="I180" s="1"/>
  <c r="D144"/>
  <c r="D145"/>
  <c r="D146"/>
  <c r="D147"/>
  <c r="E150"/>
  <c r="G150"/>
  <c r="H150"/>
  <c r="I150"/>
  <c r="D154"/>
  <c r="D180" l="1"/>
  <c r="F150"/>
  <c r="D150" s="1"/>
  <c r="D143"/>
  <c r="D148" l="1"/>
  <c r="J53" i="4" l="1"/>
  <c r="N73" i="3" l="1"/>
  <c r="M73"/>
  <c r="L36" i="26" l="1"/>
  <c r="M37"/>
  <c r="N78" i="19" l="1"/>
  <c r="N78" i="31" s="1"/>
  <c r="M78" i="19"/>
  <c r="M78" i="31" s="1"/>
  <c r="H78" i="19"/>
  <c r="H78" i="31" s="1"/>
  <c r="G78" i="19"/>
  <c r="N54"/>
  <c r="H54"/>
  <c r="N78" i="12"/>
  <c r="M78"/>
  <c r="H78"/>
  <c r="G78"/>
  <c r="N54"/>
  <c r="H54"/>
  <c r="N78" i="1"/>
  <c r="M78"/>
  <c r="H78"/>
  <c r="G78"/>
  <c r="H54" i="26"/>
  <c r="N54"/>
  <c r="H73"/>
  <c r="G73"/>
  <c r="N78"/>
  <c r="M78"/>
  <c r="H78"/>
  <c r="G78"/>
  <c r="N54" i="31" l="1"/>
  <c r="N78" i="20"/>
  <c r="N78" i="32" s="1"/>
  <c r="N78" i="33" s="1"/>
  <c r="M78" i="11"/>
  <c r="G78" i="31"/>
  <c r="H78" i="20"/>
  <c r="G78" i="11"/>
  <c r="G78" i="29" s="1"/>
  <c r="G78" i="30" s="1"/>
  <c r="H54" i="31"/>
  <c r="H54" i="20"/>
  <c r="H54" i="32" s="1"/>
  <c r="H54" i="33" s="1"/>
  <c r="N54" i="20"/>
  <c r="H54" i="27"/>
  <c r="H54" i="28" s="1"/>
  <c r="H78" i="27"/>
  <c r="H78" i="28" s="1"/>
  <c r="N78" i="27"/>
  <c r="N78" i="28" s="1"/>
  <c r="H54" i="11"/>
  <c r="H54" i="29" s="1"/>
  <c r="H54" i="30" s="1"/>
  <c r="H78" i="11"/>
  <c r="H78" i="29" s="1"/>
  <c r="H78" i="30" s="1"/>
  <c r="N78" i="11"/>
  <c r="G78" i="20"/>
  <c r="M78"/>
  <c r="G78" i="27"/>
  <c r="G78" i="28" s="1"/>
  <c r="M78" i="27"/>
  <c r="M78" i="28" s="1"/>
  <c r="N54" i="27"/>
  <c r="N54" i="28" s="1"/>
  <c r="N54" i="11"/>
  <c r="N54" i="29" s="1"/>
  <c r="N54" i="30" s="1"/>
  <c r="N78" l="1"/>
  <c r="N78" i="29"/>
  <c r="M78" i="30"/>
  <c r="M78" i="29"/>
  <c r="H78" i="32"/>
  <c r="H78" i="33" s="1"/>
  <c r="N54" i="32"/>
  <c r="N54" i="33" s="1"/>
  <c r="M78" i="32"/>
  <c r="M78" i="33" s="1"/>
  <c r="G78" i="32"/>
  <c r="G78" i="33" s="1"/>
  <c r="N59" i="1" l="1"/>
  <c r="N59" i="11" l="1"/>
  <c r="N59" i="20"/>
  <c r="N59" i="32" s="1"/>
  <c r="N59" i="33" s="1"/>
  <c r="Z38" i="2"/>
  <c r="Y37"/>
  <c r="X37"/>
  <c r="X36"/>
  <c r="I34" i="12" l="1"/>
  <c r="F31"/>
  <c r="F30" s="1"/>
  <c r="H98"/>
  <c r="N98" i="1"/>
  <c r="H98"/>
  <c r="H98" i="19"/>
  <c r="N98" i="11" l="1"/>
  <c r="N98" i="29" s="1"/>
  <c r="N98" i="30" s="1"/>
  <c r="N98" i="20"/>
  <c r="N98" i="32" s="1"/>
  <c r="N98" i="33" s="1"/>
  <c r="H98" i="11"/>
  <c r="H98" i="29" s="1"/>
  <c r="H98" i="30" s="1"/>
  <c r="H98" i="20"/>
  <c r="H98" i="31"/>
  <c r="J53" i="2"/>
  <c r="N59" i="29"/>
  <c r="N59" i="30" s="1"/>
  <c r="N59" i="27"/>
  <c r="N59" i="28" s="1"/>
  <c r="N59" i="26"/>
  <c r="H59"/>
  <c r="N98" i="27"/>
  <c r="N98" i="28" s="1"/>
  <c r="H98" i="27"/>
  <c r="H98" i="28" s="1"/>
  <c r="N98" i="26"/>
  <c r="H98"/>
  <c r="H98" i="32" l="1"/>
  <c r="H98" i="33" s="1"/>
  <c r="H59" i="19"/>
  <c r="H59" i="12"/>
  <c r="H59" i="1"/>
  <c r="H59" i="27" l="1"/>
  <c r="H59" i="28" s="1"/>
  <c r="H59" i="20"/>
  <c r="H59" i="31"/>
  <c r="H59" i="11"/>
  <c r="H59" i="29" s="1"/>
  <c r="H59" i="30" s="1"/>
  <c r="H59" i="32" l="1"/>
  <c r="H59" i="33" s="1"/>
  <c r="M18" i="10" l="1"/>
  <c r="I53" i="28" l="1"/>
  <c r="O150" i="6" l="1"/>
  <c r="O143"/>
  <c r="O180" s="1"/>
  <c r="N143"/>
  <c r="N180" s="1"/>
  <c r="M143"/>
  <c r="M180" s="1"/>
  <c r="L143"/>
  <c r="L180" s="1"/>
  <c r="K143"/>
  <c r="O143" i="4"/>
  <c r="O180" s="1"/>
  <c r="D154" i="18"/>
  <c r="D154" i="15"/>
  <c r="D154" i="13"/>
  <c r="D154" i="10"/>
  <c r="D154" i="8"/>
  <c r="D154" i="6"/>
  <c r="J180" l="1"/>
  <c r="L150"/>
  <c r="N150"/>
  <c r="K150"/>
  <c r="M150"/>
  <c r="J106" i="4"/>
  <c r="D154" l="1"/>
  <c r="D154" i="3"/>
  <c r="O53" i="26"/>
  <c r="O145"/>
  <c r="J145" s="1"/>
  <c r="F154" i="19" l="1"/>
  <c r="D154" s="1"/>
  <c r="F154" i="12"/>
  <c r="D154" s="1"/>
  <c r="F154" i="1"/>
  <c r="F154" i="26"/>
  <c r="D154" i="1" l="1"/>
  <c r="F154" i="27"/>
  <c r="F154" i="28" s="1"/>
  <c r="F154" i="31"/>
  <c r="D154" s="1"/>
  <c r="F154" i="20"/>
  <c r="F154" i="11"/>
  <c r="N95" i="1"/>
  <c r="N100" i="26"/>
  <c r="H100"/>
  <c r="F154" i="32" l="1"/>
  <c r="F154" i="33" s="1"/>
  <c r="N100" i="30"/>
  <c r="N100" i="27"/>
  <c r="N100" i="28" s="1"/>
  <c r="D154" i="11"/>
  <c r="F154" i="29"/>
  <c r="F154" i="30" s="1"/>
  <c r="I145" i="26"/>
  <c r="D145" s="1"/>
  <c r="I144"/>
  <c r="O150" i="18" l="1"/>
  <c r="O150" i="15"/>
  <c r="O150" i="13"/>
  <c r="O150" i="10"/>
  <c r="O150" i="8"/>
  <c r="O150" i="4"/>
  <c r="O150" i="3"/>
  <c r="O150" i="2"/>
  <c r="O150" i="19" l="1"/>
  <c r="O150" i="1"/>
  <c r="O150" i="27" s="1"/>
  <c r="O150" i="26"/>
  <c r="O150" i="12"/>
  <c r="H100" i="27"/>
  <c r="O150" i="20" l="1"/>
  <c r="O145" i="31"/>
  <c r="J145" s="1"/>
  <c r="I145"/>
  <c r="D145" s="1"/>
  <c r="O145" i="1"/>
  <c r="O145" i="27" s="1"/>
  <c r="O145" i="28" s="1"/>
  <c r="O145" i="12"/>
  <c r="I145"/>
  <c r="D145" s="1"/>
  <c r="I145" i="19"/>
  <c r="D145" s="1"/>
  <c r="J145"/>
  <c r="J145" i="18"/>
  <c r="D145"/>
  <c r="J145" i="15"/>
  <c r="D145"/>
  <c r="J145" i="13"/>
  <c r="D145"/>
  <c r="J145" i="10"/>
  <c r="D145"/>
  <c r="J145" i="8"/>
  <c r="D145"/>
  <c r="J145" i="6"/>
  <c r="D145"/>
  <c r="J145" i="4"/>
  <c r="D145"/>
  <c r="J145" i="3"/>
  <c r="D145"/>
  <c r="J145" i="2"/>
  <c r="G194" i="19"/>
  <c r="O145" i="11" l="1"/>
  <c r="O145" i="29" s="1"/>
  <c r="D145" i="1"/>
  <c r="I145" i="27"/>
  <c r="I145" i="28" s="1"/>
  <c r="O145" i="20"/>
  <c r="I145"/>
  <c r="D145" s="1"/>
  <c r="G194" i="31"/>
  <c r="E147" i="12"/>
  <c r="F147"/>
  <c r="G147"/>
  <c r="H147"/>
  <c r="I147"/>
  <c r="I150" i="18"/>
  <c r="J147"/>
  <c r="D147"/>
  <c r="J146"/>
  <c r="D146"/>
  <c r="J144"/>
  <c r="D144"/>
  <c r="N143"/>
  <c r="N180" s="1"/>
  <c r="M143"/>
  <c r="M180" s="1"/>
  <c r="L143"/>
  <c r="K143"/>
  <c r="I143"/>
  <c r="I180" s="1"/>
  <c r="H143"/>
  <c r="H180" s="1"/>
  <c r="G143"/>
  <c r="G180" s="1"/>
  <c r="F143"/>
  <c r="E143"/>
  <c r="I150" i="15"/>
  <c r="J147"/>
  <c r="D147"/>
  <c r="J146"/>
  <c r="D146"/>
  <c r="J144"/>
  <c r="D144"/>
  <c r="O143"/>
  <c r="N143"/>
  <c r="N180" s="1"/>
  <c r="M143"/>
  <c r="L143"/>
  <c r="K143"/>
  <c r="I143"/>
  <c r="H143"/>
  <c r="H180" s="1"/>
  <c r="G143"/>
  <c r="G180" s="1"/>
  <c r="F143"/>
  <c r="E143"/>
  <c r="I150" i="13"/>
  <c r="J147"/>
  <c r="D147"/>
  <c r="J146"/>
  <c r="D146"/>
  <c r="J144"/>
  <c r="D144"/>
  <c r="O143"/>
  <c r="N143"/>
  <c r="N180" s="1"/>
  <c r="M143"/>
  <c r="M180" s="1"/>
  <c r="L143"/>
  <c r="K143"/>
  <c r="I143"/>
  <c r="H143"/>
  <c r="H180" s="1"/>
  <c r="G143"/>
  <c r="F143"/>
  <c r="E143"/>
  <c r="I150" i="10"/>
  <c r="J147"/>
  <c r="D147"/>
  <c r="J146"/>
  <c r="D146"/>
  <c r="J144"/>
  <c r="D144"/>
  <c r="O143"/>
  <c r="N143"/>
  <c r="M143"/>
  <c r="L143"/>
  <c r="L180" s="1"/>
  <c r="K143"/>
  <c r="I143"/>
  <c r="H143"/>
  <c r="H180" s="1"/>
  <c r="G143"/>
  <c r="G180" s="1"/>
  <c r="F143"/>
  <c r="E143"/>
  <c r="I150" i="8"/>
  <c r="J147"/>
  <c r="D147"/>
  <c r="J146"/>
  <c r="D146"/>
  <c r="J144"/>
  <c r="D144"/>
  <c r="O143"/>
  <c r="O180" s="1"/>
  <c r="N143"/>
  <c r="N180" s="1"/>
  <c r="M143"/>
  <c r="M180" s="1"/>
  <c r="L143"/>
  <c r="K143"/>
  <c r="I143"/>
  <c r="H143"/>
  <c r="H180" s="1"/>
  <c r="G143"/>
  <c r="G180" s="1"/>
  <c r="F143"/>
  <c r="F180" s="1"/>
  <c r="E143"/>
  <c r="I150" i="6"/>
  <c r="J147"/>
  <c r="D147"/>
  <c r="J146"/>
  <c r="D146"/>
  <c r="J144"/>
  <c r="D144"/>
  <c r="J150"/>
  <c r="I143"/>
  <c r="I180" s="1"/>
  <c r="H143"/>
  <c r="H180" s="1"/>
  <c r="G143"/>
  <c r="G180" s="1"/>
  <c r="F143"/>
  <c r="E143"/>
  <c r="I150" i="4"/>
  <c r="J147"/>
  <c r="D147"/>
  <c r="J146"/>
  <c r="D146"/>
  <c r="J144"/>
  <c r="D144"/>
  <c r="N143"/>
  <c r="N180" s="1"/>
  <c r="M143"/>
  <c r="M180" s="1"/>
  <c r="L143"/>
  <c r="L180" s="1"/>
  <c r="J180" s="1"/>
  <c r="K143"/>
  <c r="I143"/>
  <c r="I180" s="1"/>
  <c r="H143"/>
  <c r="H180" s="1"/>
  <c r="G143"/>
  <c r="G180" s="1"/>
  <c r="F143"/>
  <c r="E143"/>
  <c r="I150" i="3"/>
  <c r="J147"/>
  <c r="D147"/>
  <c r="J146"/>
  <c r="D146"/>
  <c r="J144"/>
  <c r="D144"/>
  <c r="O143"/>
  <c r="O180" s="1"/>
  <c r="N143"/>
  <c r="N180" s="1"/>
  <c r="M143"/>
  <c r="M180" s="1"/>
  <c r="L143"/>
  <c r="K143"/>
  <c r="I143"/>
  <c r="I180" s="1"/>
  <c r="H143"/>
  <c r="H180" s="1"/>
  <c r="G143"/>
  <c r="G180" s="1"/>
  <c r="F143"/>
  <c r="F180" s="1"/>
  <c r="D180" s="1"/>
  <c r="E143"/>
  <c r="J144" i="2"/>
  <c r="O143"/>
  <c r="O180" s="1"/>
  <c r="N143"/>
  <c r="N180" s="1"/>
  <c r="M143"/>
  <c r="M180" s="1"/>
  <c r="K143"/>
  <c r="M194" i="12"/>
  <c r="G194"/>
  <c r="M194" i="1"/>
  <c r="G194"/>
  <c r="M194" i="26"/>
  <c r="G194"/>
  <c r="F180" i="13" l="1"/>
  <c r="I150" i="19"/>
  <c r="L180" i="3"/>
  <c r="J180" s="1"/>
  <c r="F180" i="4"/>
  <c r="D180" s="1"/>
  <c r="F180" i="6"/>
  <c r="L180" i="8"/>
  <c r="G180" i="13"/>
  <c r="L180"/>
  <c r="F180" i="15"/>
  <c r="L180" i="18"/>
  <c r="F180"/>
  <c r="O180"/>
  <c r="J180" s="1"/>
  <c r="D180"/>
  <c r="O180" i="15"/>
  <c r="I180"/>
  <c r="M180"/>
  <c r="L180"/>
  <c r="J180"/>
  <c r="O180" i="13"/>
  <c r="I180"/>
  <c r="N180" i="10"/>
  <c r="M180"/>
  <c r="O180"/>
  <c r="D126"/>
  <c r="I180"/>
  <c r="F180"/>
  <c r="D180" s="1"/>
  <c r="M194" i="11"/>
  <c r="I180" i="8"/>
  <c r="J180"/>
  <c r="D180" i="6"/>
  <c r="D180" i="13"/>
  <c r="I150" i="12"/>
  <c r="G194" i="11"/>
  <c r="G194" i="29" s="1"/>
  <c r="G194" i="30" s="1"/>
  <c r="I150" i="1"/>
  <c r="I150" i="26"/>
  <c r="F150" i="4"/>
  <c r="H150"/>
  <c r="F150" i="6"/>
  <c r="H150"/>
  <c r="G150" i="8"/>
  <c r="F150" i="10"/>
  <c r="H150"/>
  <c r="G150" i="13"/>
  <c r="F150" i="15"/>
  <c r="H150"/>
  <c r="G150" i="18"/>
  <c r="N150" i="2"/>
  <c r="G150" i="4"/>
  <c r="G150" i="6"/>
  <c r="F150" i="8"/>
  <c r="H150"/>
  <c r="G150" i="10"/>
  <c r="F150" i="13"/>
  <c r="H150"/>
  <c r="G150" i="15"/>
  <c r="F150" i="18"/>
  <c r="F150" i="19" s="1"/>
  <c r="H150" i="18"/>
  <c r="G150" i="3"/>
  <c r="F150"/>
  <c r="F150" i="26" s="1"/>
  <c r="H150" i="3"/>
  <c r="D143" i="18"/>
  <c r="L150"/>
  <c r="N150"/>
  <c r="M150"/>
  <c r="M150" i="15"/>
  <c r="L150"/>
  <c r="N150"/>
  <c r="M150" i="10"/>
  <c r="L150"/>
  <c r="N150"/>
  <c r="D143" i="8"/>
  <c r="L150"/>
  <c r="N150"/>
  <c r="M150"/>
  <c r="E150" i="6"/>
  <c r="M150" i="4"/>
  <c r="L150"/>
  <c r="N150"/>
  <c r="L150" i="3"/>
  <c r="N150"/>
  <c r="M150"/>
  <c r="M150" i="2"/>
  <c r="E150" i="13"/>
  <c r="L150"/>
  <c r="N150"/>
  <c r="K150"/>
  <c r="M150"/>
  <c r="M150" i="12"/>
  <c r="N150"/>
  <c r="J143" i="10"/>
  <c r="K150"/>
  <c r="J143" i="15"/>
  <c r="K150"/>
  <c r="J143" i="4"/>
  <c r="K150"/>
  <c r="J143" i="8"/>
  <c r="K150"/>
  <c r="J143" i="18"/>
  <c r="K150"/>
  <c r="K150" i="19" s="1"/>
  <c r="D143" i="6"/>
  <c r="J143"/>
  <c r="J148" s="1"/>
  <c r="D143" i="10"/>
  <c r="J143" i="3"/>
  <c r="D143" i="15"/>
  <c r="D143" i="4"/>
  <c r="D143" i="3"/>
  <c r="J143" i="13"/>
  <c r="G194" i="20"/>
  <c r="D147" i="12"/>
  <c r="D150" i="13"/>
  <c r="D143"/>
  <c r="D150" i="6"/>
  <c r="D148" s="1"/>
  <c r="E150" i="18"/>
  <c r="E150" i="15"/>
  <c r="D150" s="1"/>
  <c r="D148" s="1"/>
  <c r="E150" i="10"/>
  <c r="D150" s="1"/>
  <c r="D148" s="1"/>
  <c r="E150" i="8"/>
  <c r="D150" s="1"/>
  <c r="D148" s="1"/>
  <c r="E150" i="4"/>
  <c r="D150" s="1"/>
  <c r="D148" s="1"/>
  <c r="E150" i="3"/>
  <c r="K150"/>
  <c r="G194" i="27"/>
  <c r="G194" i="28" s="1"/>
  <c r="M194" i="27"/>
  <c r="M194" i="28" s="1"/>
  <c r="N95" i="31"/>
  <c r="H95" i="19"/>
  <c r="H95" i="31" s="1"/>
  <c r="D95" s="1"/>
  <c r="N95" i="12"/>
  <c r="N95" i="20" s="1"/>
  <c r="N95" i="32" s="1"/>
  <c r="N95" i="33" s="1"/>
  <c r="H95" i="12"/>
  <c r="N95" i="27"/>
  <c r="N95" i="28" s="1"/>
  <c r="H95" i="1"/>
  <c r="H95" i="20" s="1"/>
  <c r="N95" i="26"/>
  <c r="H95"/>
  <c r="J12" i="15"/>
  <c r="J106" i="33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106" i="32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106" i="30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106" i="29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106" i="28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106" i="27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106" i="26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J106" i="31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106" i="20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106" i="19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J106" i="18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J106" i="15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J106" i="13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J106" i="11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106" i="12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J106" i="10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J106" i="8"/>
  <c r="D106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J106" i="6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J106" i="1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D106" i="4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J106" i="3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J106" i="2"/>
  <c r="J105"/>
  <c r="J104"/>
  <c r="J103"/>
  <c r="J102"/>
  <c r="J101"/>
  <c r="J100"/>
  <c r="J99"/>
  <c r="J98"/>
  <c r="J97"/>
  <c r="J96"/>
  <c r="J95"/>
  <c r="M150" i="19" l="1"/>
  <c r="L150"/>
  <c r="H150"/>
  <c r="G150"/>
  <c r="J180" i="10"/>
  <c r="I150" i="20"/>
  <c r="K150" i="31"/>
  <c r="N150" i="19"/>
  <c r="D150" i="18"/>
  <c r="D148" s="1"/>
  <c r="E150" i="19"/>
  <c r="J150" i="18"/>
  <c r="J148" s="1"/>
  <c r="D180" i="15"/>
  <c r="J150"/>
  <c r="J180" i="13"/>
  <c r="J150"/>
  <c r="L150" i="12"/>
  <c r="G194" i="32"/>
  <c r="G194" i="33" s="1"/>
  <c r="J150" i="8"/>
  <c r="D180"/>
  <c r="J95" i="31"/>
  <c r="J95" i="28"/>
  <c r="N95" i="11"/>
  <c r="N95" i="29" s="1"/>
  <c r="N95" i="30" s="1"/>
  <c r="I150" i="27"/>
  <c r="I150" i="28" s="1"/>
  <c r="I150" i="11"/>
  <c r="I150" i="29" s="1"/>
  <c r="I150" i="30" s="1"/>
  <c r="G150" i="12"/>
  <c r="E150"/>
  <c r="H150"/>
  <c r="F150"/>
  <c r="D150" i="3"/>
  <c r="D148" s="1"/>
  <c r="E150" i="1"/>
  <c r="E150" i="26"/>
  <c r="F150" i="1"/>
  <c r="F150" i="20" s="1"/>
  <c r="H150" i="1"/>
  <c r="H150" i="26"/>
  <c r="G150" i="1"/>
  <c r="G150" i="26"/>
  <c r="M150" i="1"/>
  <c r="M150" i="27" s="1"/>
  <c r="M150" i="26"/>
  <c r="N150" i="1"/>
  <c r="N150" i="27" s="1"/>
  <c r="N150" i="26"/>
  <c r="J150" i="4"/>
  <c r="J148" s="1"/>
  <c r="J150" i="3"/>
  <c r="J148" s="1"/>
  <c r="J148" i="13"/>
  <c r="J148" i="8"/>
  <c r="J148" i="15"/>
  <c r="J150" i="10"/>
  <c r="J148" s="1"/>
  <c r="K150" i="12"/>
  <c r="J95" i="27"/>
  <c r="D148" i="13"/>
  <c r="J95" i="11"/>
  <c r="H95" i="27"/>
  <c r="H95" i="32"/>
  <c r="D95" i="20"/>
  <c r="H95" i="11"/>
  <c r="E147" i="19"/>
  <c r="F147"/>
  <c r="G147"/>
  <c r="H147"/>
  <c r="I147"/>
  <c r="E150" i="20" l="1"/>
  <c r="E150" i="31"/>
  <c r="N150" i="20"/>
  <c r="G150"/>
  <c r="H150"/>
  <c r="M150"/>
  <c r="J95" i="32"/>
  <c r="E150" i="27"/>
  <c r="E150" i="28" s="1"/>
  <c r="E150" i="11"/>
  <c r="E150" i="29" s="1"/>
  <c r="E150" i="30" s="1"/>
  <c r="F150" i="27"/>
  <c r="F150" i="28" s="1"/>
  <c r="F150" i="11"/>
  <c r="F150" i="29" s="1"/>
  <c r="F150" i="30" s="1"/>
  <c r="G150" i="27"/>
  <c r="G150" i="28" s="1"/>
  <c r="G150" i="11"/>
  <c r="G150" i="29" s="1"/>
  <c r="G150" i="30" s="1"/>
  <c r="H150" i="27"/>
  <c r="H150" i="28" s="1"/>
  <c r="H150" i="11"/>
  <c r="H150" i="29" s="1"/>
  <c r="H150" i="30" s="1"/>
  <c r="J95" i="29"/>
  <c r="J95" i="20"/>
  <c r="H95" i="28"/>
  <c r="D95" s="1"/>
  <c r="D95" i="27"/>
  <c r="H95" i="29"/>
  <c r="D95" i="11"/>
  <c r="H95" i="33"/>
  <c r="D95" s="1"/>
  <c r="D95" i="32"/>
  <c r="K143" i="33"/>
  <c r="J94"/>
  <c r="D94"/>
  <c r="J93"/>
  <c r="D93"/>
  <c r="J92"/>
  <c r="D92"/>
  <c r="J91"/>
  <c r="D91"/>
  <c r="J90"/>
  <c r="D90"/>
  <c r="J88"/>
  <c r="D88"/>
  <c r="J87"/>
  <c r="D87"/>
  <c r="J86"/>
  <c r="D86"/>
  <c r="J85"/>
  <c r="D85"/>
  <c r="J84"/>
  <c r="D84"/>
  <c r="J82"/>
  <c r="D82"/>
  <c r="J81"/>
  <c r="D81"/>
  <c r="J80"/>
  <c r="D80"/>
  <c r="J79"/>
  <c r="D79"/>
  <c r="J78"/>
  <c r="D78"/>
  <c r="J77"/>
  <c r="J76"/>
  <c r="D76"/>
  <c r="J75"/>
  <c r="D75"/>
  <c r="J74"/>
  <c r="D74"/>
  <c r="J72"/>
  <c r="D72"/>
  <c r="J70"/>
  <c r="D70"/>
  <c r="J69"/>
  <c r="D69"/>
  <c r="J68"/>
  <c r="D68"/>
  <c r="J67"/>
  <c r="D67"/>
  <c r="J66"/>
  <c r="D66"/>
  <c r="J65"/>
  <c r="J63"/>
  <c r="D63"/>
  <c r="J62"/>
  <c r="D62"/>
  <c r="J61"/>
  <c r="D61"/>
  <c r="O60"/>
  <c r="N60"/>
  <c r="M60"/>
  <c r="J60" s="1"/>
  <c r="D60"/>
  <c r="J56"/>
  <c r="D56"/>
  <c r="J55"/>
  <c r="D55"/>
  <c r="J54"/>
  <c r="D54"/>
  <c r="J52"/>
  <c r="J51"/>
  <c r="D51"/>
  <c r="J48"/>
  <c r="D48"/>
  <c r="K42"/>
  <c r="E42"/>
  <c r="K41"/>
  <c r="E41"/>
  <c r="L40"/>
  <c r="F40"/>
  <c r="J35"/>
  <c r="D35"/>
  <c r="O34"/>
  <c r="I34"/>
  <c r="O32"/>
  <c r="O172" s="1"/>
  <c r="L30"/>
  <c r="F30"/>
  <c r="O29"/>
  <c r="O176" s="1"/>
  <c r="N29"/>
  <c r="N176" s="1"/>
  <c r="L29"/>
  <c r="L176" s="1"/>
  <c r="K29"/>
  <c r="I29"/>
  <c r="I176" s="1"/>
  <c r="H29"/>
  <c r="H176" s="1"/>
  <c r="F29"/>
  <c r="F176" s="1"/>
  <c r="E29"/>
  <c r="O28"/>
  <c r="O174" s="1"/>
  <c r="K28"/>
  <c r="I28"/>
  <c r="I174" s="1"/>
  <c r="E28"/>
  <c r="O27"/>
  <c r="N27"/>
  <c r="K27"/>
  <c r="I27"/>
  <c r="H27"/>
  <c r="E27"/>
  <c r="O26"/>
  <c r="N26"/>
  <c r="M26"/>
  <c r="K26"/>
  <c r="I26"/>
  <c r="H26"/>
  <c r="G26"/>
  <c r="E26"/>
  <c r="O23"/>
  <c r="N23"/>
  <c r="M23"/>
  <c r="L23"/>
  <c r="K23"/>
  <c r="I23"/>
  <c r="H23"/>
  <c r="G23"/>
  <c r="F23"/>
  <c r="E23"/>
  <c r="O18"/>
  <c r="N18"/>
  <c r="K18"/>
  <c r="I18"/>
  <c r="H18"/>
  <c r="E18"/>
  <c r="J16"/>
  <c r="D16"/>
  <c r="K15"/>
  <c r="O9"/>
  <c r="O25" s="1"/>
  <c r="N9"/>
  <c r="N25" s="1"/>
  <c r="M9"/>
  <c r="K9"/>
  <c r="K25" s="1"/>
  <c r="I9"/>
  <c r="I25" s="1"/>
  <c r="H9"/>
  <c r="H25" s="1"/>
  <c r="G9"/>
  <c r="E9"/>
  <c r="E25" s="1"/>
  <c r="K24"/>
  <c r="J7"/>
  <c r="D7"/>
  <c r="K6"/>
  <c r="I53" i="32"/>
  <c r="I53" i="33" s="1"/>
  <c r="J94" i="32"/>
  <c r="D94"/>
  <c r="J93"/>
  <c r="D93"/>
  <c r="J92"/>
  <c r="D92"/>
  <c r="J91"/>
  <c r="D91"/>
  <c r="J90"/>
  <c r="D90"/>
  <c r="J88"/>
  <c r="D88"/>
  <c r="J87"/>
  <c r="D87"/>
  <c r="J86"/>
  <c r="D86"/>
  <c r="J85"/>
  <c r="D85"/>
  <c r="J84"/>
  <c r="D84"/>
  <c r="J82"/>
  <c r="D82"/>
  <c r="J81"/>
  <c r="D81"/>
  <c r="J80"/>
  <c r="D80"/>
  <c r="J79"/>
  <c r="D79"/>
  <c r="J78"/>
  <c r="D78"/>
  <c r="J76"/>
  <c r="D76"/>
  <c r="J75"/>
  <c r="D75"/>
  <c r="J74"/>
  <c r="D74"/>
  <c r="J72"/>
  <c r="D72"/>
  <c r="J70"/>
  <c r="D70"/>
  <c r="J69"/>
  <c r="D69"/>
  <c r="J68"/>
  <c r="D68"/>
  <c r="J67"/>
  <c r="D67"/>
  <c r="J66"/>
  <c r="D66"/>
  <c r="J63"/>
  <c r="D63"/>
  <c r="J62"/>
  <c r="D62"/>
  <c r="J61"/>
  <c r="D61"/>
  <c r="O60"/>
  <c r="N60"/>
  <c r="M60"/>
  <c r="J60" s="1"/>
  <c r="D60"/>
  <c r="J56"/>
  <c r="D56"/>
  <c r="J55"/>
  <c r="D55"/>
  <c r="J54"/>
  <c r="D54"/>
  <c r="J51"/>
  <c r="D51"/>
  <c r="J48"/>
  <c r="D48"/>
  <c r="K42"/>
  <c r="E42"/>
  <c r="K41"/>
  <c r="E41"/>
  <c r="L40"/>
  <c r="F40"/>
  <c r="J35"/>
  <c r="D35"/>
  <c r="O34"/>
  <c r="I34"/>
  <c r="O32"/>
  <c r="O172" s="1"/>
  <c r="L30"/>
  <c r="F30"/>
  <c r="O29"/>
  <c r="O176" s="1"/>
  <c r="N29"/>
  <c r="N176" s="1"/>
  <c r="L29"/>
  <c r="K29"/>
  <c r="I29"/>
  <c r="I176" s="1"/>
  <c r="H29"/>
  <c r="H176" s="1"/>
  <c r="F29"/>
  <c r="E29"/>
  <c r="O28"/>
  <c r="O174" s="1"/>
  <c r="K28"/>
  <c r="I28"/>
  <c r="I174" s="1"/>
  <c r="E28"/>
  <c r="O27"/>
  <c r="N27"/>
  <c r="K27"/>
  <c r="I27"/>
  <c r="H27"/>
  <c r="E27"/>
  <c r="O26"/>
  <c r="N26"/>
  <c r="M26"/>
  <c r="K26"/>
  <c r="I26"/>
  <c r="H26"/>
  <c r="G26"/>
  <c r="E26"/>
  <c r="O23"/>
  <c r="N23"/>
  <c r="M23"/>
  <c r="L23"/>
  <c r="K23"/>
  <c r="I23"/>
  <c r="H23"/>
  <c r="G23"/>
  <c r="F23"/>
  <c r="E23"/>
  <c r="O18"/>
  <c r="N18"/>
  <c r="K18"/>
  <c r="I18"/>
  <c r="H18"/>
  <c r="E18"/>
  <c r="J16"/>
  <c r="D16"/>
  <c r="O9"/>
  <c r="O25" s="1"/>
  <c r="N9"/>
  <c r="N25" s="1"/>
  <c r="M9"/>
  <c r="K9"/>
  <c r="K25" s="1"/>
  <c r="I9"/>
  <c r="I25" s="1"/>
  <c r="H9"/>
  <c r="H25" s="1"/>
  <c r="G9"/>
  <c r="E9"/>
  <c r="E25" s="1"/>
  <c r="J7"/>
  <c r="D7"/>
  <c r="I52" i="30"/>
  <c r="H52"/>
  <c r="G52"/>
  <c r="F52"/>
  <c r="K146" i="29"/>
  <c r="O59" i="19"/>
  <c r="O64"/>
  <c r="O64" i="33" s="1"/>
  <c r="J64" s="1"/>
  <c r="L195" i="31"/>
  <c r="O194"/>
  <c r="N194"/>
  <c r="L154"/>
  <c r="J154" s="1"/>
  <c r="O144"/>
  <c r="J144" s="1"/>
  <c r="I144"/>
  <c r="D144" s="1"/>
  <c r="J94"/>
  <c r="D94"/>
  <c r="J93"/>
  <c r="D93"/>
  <c r="J92"/>
  <c r="D92"/>
  <c r="J91"/>
  <c r="D91"/>
  <c r="J90"/>
  <c r="D90"/>
  <c r="E89"/>
  <c r="J88"/>
  <c r="D88"/>
  <c r="J87"/>
  <c r="D87"/>
  <c r="J86"/>
  <c r="D86"/>
  <c r="J85"/>
  <c r="D85"/>
  <c r="J84"/>
  <c r="D84"/>
  <c r="J82"/>
  <c r="D82"/>
  <c r="J81"/>
  <c r="D81"/>
  <c r="J80"/>
  <c r="D80"/>
  <c r="J79"/>
  <c r="D79"/>
  <c r="J78"/>
  <c r="D78"/>
  <c r="J76"/>
  <c r="D76"/>
  <c r="J75"/>
  <c r="D75"/>
  <c r="J74"/>
  <c r="D74"/>
  <c r="J72"/>
  <c r="D72"/>
  <c r="J70"/>
  <c r="D70"/>
  <c r="J69"/>
  <c r="D69"/>
  <c r="J68"/>
  <c r="D68"/>
  <c r="J67"/>
  <c r="D67"/>
  <c r="J66"/>
  <c r="D66"/>
  <c r="J63"/>
  <c r="D63"/>
  <c r="J62"/>
  <c r="D62"/>
  <c r="J61"/>
  <c r="D61"/>
  <c r="O60"/>
  <c r="N60"/>
  <c r="M60"/>
  <c r="J60"/>
  <c r="D60"/>
  <c r="J56"/>
  <c r="D56"/>
  <c r="J55"/>
  <c r="D55"/>
  <c r="J54"/>
  <c r="D54"/>
  <c r="J51"/>
  <c r="D51"/>
  <c r="J48"/>
  <c r="D48"/>
  <c r="K42"/>
  <c r="E42"/>
  <c r="K41"/>
  <c r="E41"/>
  <c r="L40"/>
  <c r="F40"/>
  <c r="J35"/>
  <c r="D35"/>
  <c r="O34"/>
  <c r="I34"/>
  <c r="O32"/>
  <c r="O172" s="1"/>
  <c r="L30"/>
  <c r="F30"/>
  <c r="O29"/>
  <c r="O176" s="1"/>
  <c r="N29"/>
  <c r="N176" s="1"/>
  <c r="L29"/>
  <c r="K29"/>
  <c r="I29"/>
  <c r="I176" s="1"/>
  <c r="H29"/>
  <c r="H176" s="1"/>
  <c r="F29"/>
  <c r="E29"/>
  <c r="O28"/>
  <c r="O174" s="1"/>
  <c r="K28"/>
  <c r="I28"/>
  <c r="I174" s="1"/>
  <c r="E28"/>
  <c r="O27"/>
  <c r="N27"/>
  <c r="K27"/>
  <c r="I27"/>
  <c r="H27"/>
  <c r="E27"/>
  <c r="O26"/>
  <c r="N26"/>
  <c r="M26"/>
  <c r="K26"/>
  <c r="I26"/>
  <c r="H26"/>
  <c r="G26"/>
  <c r="E26"/>
  <c r="O23"/>
  <c r="N23"/>
  <c r="M23"/>
  <c r="L23"/>
  <c r="K23"/>
  <c r="J23" s="1"/>
  <c r="I23"/>
  <c r="H23"/>
  <c r="G23"/>
  <c r="F23"/>
  <c r="E23"/>
  <c r="D23" s="1"/>
  <c r="O18"/>
  <c r="N18"/>
  <c r="K18"/>
  <c r="I18"/>
  <c r="H18"/>
  <c r="E18"/>
  <c r="J16"/>
  <c r="D16"/>
  <c r="O9"/>
  <c r="O25" s="1"/>
  <c r="N9"/>
  <c r="N25" s="1"/>
  <c r="M9"/>
  <c r="K9"/>
  <c r="K25" s="1"/>
  <c r="I9"/>
  <c r="I25" s="1"/>
  <c r="H9"/>
  <c r="H25" s="1"/>
  <c r="G9"/>
  <c r="E9"/>
  <c r="E25" s="1"/>
  <c r="J7"/>
  <c r="D7"/>
  <c r="F176" l="1"/>
  <c r="L176"/>
  <c r="J23" i="32"/>
  <c r="F176"/>
  <c r="L176"/>
  <c r="O59" i="31"/>
  <c r="J95" i="30"/>
  <c r="J23" i="33"/>
  <c r="D23"/>
  <c r="D23" i="32"/>
  <c r="J95" i="33"/>
  <c r="H95" i="30"/>
  <c r="D95" s="1"/>
  <c r="D95" i="29"/>
  <c r="O64" i="20"/>
  <c r="K22" i="33"/>
  <c r="K44" s="1"/>
  <c r="J13"/>
  <c r="O47" i="12" l="1"/>
  <c r="O46" s="1"/>
  <c r="K159" i="33" l="1"/>
  <c r="K162"/>
  <c r="K152"/>
  <c r="K151"/>
  <c r="L195" i="19"/>
  <c r="F195"/>
  <c r="F195" i="12"/>
  <c r="L195"/>
  <c r="K45" i="33" l="1"/>
  <c r="K163" s="1"/>
  <c r="K153"/>
  <c r="F195" i="31"/>
  <c r="K155" i="33"/>
  <c r="O53" i="19"/>
  <c r="O53" i="12"/>
  <c r="O53" i="27"/>
  <c r="O53" i="28" s="1"/>
  <c r="O59" i="1"/>
  <c r="O46" s="1"/>
  <c r="L195"/>
  <c r="L195" i="20" s="1"/>
  <c r="F195" i="1"/>
  <c r="F195" i="20" s="1"/>
  <c r="L195" i="26"/>
  <c r="F195"/>
  <c r="O194" i="19"/>
  <c r="N194"/>
  <c r="I194"/>
  <c r="H194"/>
  <c r="O194" i="12"/>
  <c r="O194" i="11" s="1"/>
  <c r="N194" i="12"/>
  <c r="N194" i="11" s="1"/>
  <c r="I194" i="12"/>
  <c r="H194"/>
  <c r="I194" i="1"/>
  <c r="H194"/>
  <c r="K160" i="33" l="1"/>
  <c r="O59" i="20"/>
  <c r="O59" i="11"/>
  <c r="O194" i="27"/>
  <c r="N194"/>
  <c r="I194" i="31"/>
  <c r="H194"/>
  <c r="I194" i="27"/>
  <c r="H194"/>
  <c r="O53" i="31"/>
  <c r="L195" i="32"/>
  <c r="L195" i="33" s="1"/>
  <c r="F195" i="32"/>
  <c r="F195" i="33" s="1"/>
  <c r="K157"/>
  <c r="I194" i="20"/>
  <c r="O53"/>
  <c r="L195" i="27"/>
  <c r="L195" i="28" s="1"/>
  <c r="L195" i="11"/>
  <c r="L195" i="29" s="1"/>
  <c r="L195" i="30" s="1"/>
  <c r="F195" i="11"/>
  <c r="F195" i="29" s="1"/>
  <c r="F195" i="30" s="1"/>
  <c r="H194" i="20"/>
  <c r="F195" i="27"/>
  <c r="I194" i="11"/>
  <c r="H194"/>
  <c r="O194" i="20"/>
  <c r="O53" i="11"/>
  <c r="O53" i="29" s="1"/>
  <c r="O53" i="30" s="1"/>
  <c r="N194" i="20"/>
  <c r="O194" i="26"/>
  <c r="N194"/>
  <c r="I194"/>
  <c r="H194"/>
  <c r="I52"/>
  <c r="H52"/>
  <c r="G52"/>
  <c r="F52"/>
  <c r="F64"/>
  <c r="E147"/>
  <c r="F147"/>
  <c r="G147"/>
  <c r="H147"/>
  <c r="I147"/>
  <c r="J158" i="2"/>
  <c r="J154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2"/>
  <c r="J51"/>
  <c r="J49"/>
  <c r="J48"/>
  <c r="N43"/>
  <c r="J43" s="1"/>
  <c r="M42"/>
  <c r="L42"/>
  <c r="K42"/>
  <c r="L41"/>
  <c r="K41"/>
  <c r="L40"/>
  <c r="J38"/>
  <c r="J37"/>
  <c r="J36"/>
  <c r="J35"/>
  <c r="O34"/>
  <c r="N34"/>
  <c r="M34"/>
  <c r="L34"/>
  <c r="O33"/>
  <c r="O173" s="1"/>
  <c r="J173" s="1"/>
  <c r="O32"/>
  <c r="O172" s="1"/>
  <c r="N32"/>
  <c r="N172" s="1"/>
  <c r="J172" s="1"/>
  <c r="N31"/>
  <c r="N171" s="1"/>
  <c r="N170" s="1"/>
  <c r="M31"/>
  <c r="M171" s="1"/>
  <c r="L30"/>
  <c r="O29"/>
  <c r="O176" s="1"/>
  <c r="N29"/>
  <c r="N176" s="1"/>
  <c r="M29"/>
  <c r="M176" s="1"/>
  <c r="L29"/>
  <c r="K29"/>
  <c r="O28"/>
  <c r="O174" s="1"/>
  <c r="N28"/>
  <c r="N174" s="1"/>
  <c r="M28"/>
  <c r="M174" s="1"/>
  <c r="L28"/>
  <c r="L174" s="1"/>
  <c r="K28"/>
  <c r="O27"/>
  <c r="N27"/>
  <c r="M27"/>
  <c r="L27"/>
  <c r="K27"/>
  <c r="O26"/>
  <c r="N26"/>
  <c r="M26"/>
  <c r="L26"/>
  <c r="K26"/>
  <c r="O24"/>
  <c r="N24"/>
  <c r="M24"/>
  <c r="L24"/>
  <c r="K24"/>
  <c r="O23"/>
  <c r="N23"/>
  <c r="M23"/>
  <c r="L23"/>
  <c r="K23"/>
  <c r="J21"/>
  <c r="J20"/>
  <c r="J19"/>
  <c r="O18"/>
  <c r="O15" s="1"/>
  <c r="N18"/>
  <c r="M18"/>
  <c r="M15" s="1"/>
  <c r="L18"/>
  <c r="L15" s="1"/>
  <c r="K18"/>
  <c r="J17"/>
  <c r="J16"/>
  <c r="N15"/>
  <c r="K15"/>
  <c r="J14"/>
  <c r="J13"/>
  <c r="J12"/>
  <c r="J11"/>
  <c r="J10"/>
  <c r="O9"/>
  <c r="O25" s="1"/>
  <c r="O22" s="1"/>
  <c r="N9"/>
  <c r="N25" s="1"/>
  <c r="N22" s="1"/>
  <c r="M9"/>
  <c r="M25" s="1"/>
  <c r="M22" s="1"/>
  <c r="L9"/>
  <c r="K9"/>
  <c r="K25" s="1"/>
  <c r="J8"/>
  <c r="J7"/>
  <c r="L6"/>
  <c r="M175" l="1"/>
  <c r="O175"/>
  <c r="L176"/>
  <c r="J176" s="1"/>
  <c r="O170"/>
  <c r="O169" s="1"/>
  <c r="O177" s="1"/>
  <c r="O178" s="1"/>
  <c r="N175"/>
  <c r="N169" s="1"/>
  <c r="N177" s="1"/>
  <c r="N178" s="1"/>
  <c r="J174"/>
  <c r="M170"/>
  <c r="J171"/>
  <c r="O6"/>
  <c r="N6"/>
  <c r="J9"/>
  <c r="M30"/>
  <c r="M44" s="1"/>
  <c r="N194" i="28"/>
  <c r="O194"/>
  <c r="O194" i="29"/>
  <c r="N194"/>
  <c r="K6" i="2"/>
  <c r="M6"/>
  <c r="O59" i="32"/>
  <c r="O59" i="33" s="1"/>
  <c r="L25" i="2"/>
  <c r="L22" s="1"/>
  <c r="L44" s="1"/>
  <c r="J6"/>
  <c r="O30"/>
  <c r="O44" s="1"/>
  <c r="J18"/>
  <c r="J23"/>
  <c r="J26"/>
  <c r="J28"/>
  <c r="J15"/>
  <c r="J34"/>
  <c r="M40"/>
  <c r="N41"/>
  <c r="J41" s="1"/>
  <c r="O42"/>
  <c r="J42" s="1"/>
  <c r="J24"/>
  <c r="J27"/>
  <c r="N40"/>
  <c r="I194" i="29"/>
  <c r="I194" i="28"/>
  <c r="H194"/>
  <c r="H194" i="29"/>
  <c r="L39" i="2"/>
  <c r="J29"/>
  <c r="J33"/>
  <c r="N194" i="32"/>
  <c r="O194"/>
  <c r="N30" i="2"/>
  <c r="J30" s="1"/>
  <c r="J32"/>
  <c r="H194" i="32"/>
  <c r="H194" i="33" s="1"/>
  <c r="I194" i="32"/>
  <c r="I194" i="33" s="1"/>
  <c r="O53" i="32"/>
  <c r="O53" i="33" s="1"/>
  <c r="F195" i="28"/>
  <c r="M39" i="2"/>
  <c r="O39"/>
  <c r="J25"/>
  <c r="K22"/>
  <c r="K44" s="1"/>
  <c r="J31"/>
  <c r="H249"/>
  <c r="G248"/>
  <c r="F248"/>
  <c r="F247"/>
  <c r="N44" l="1"/>
  <c r="J170"/>
  <c r="M169"/>
  <c r="M177" s="1"/>
  <c r="M178" s="1"/>
  <c r="L175"/>
  <c r="O159"/>
  <c r="O194" i="33"/>
  <c r="N194"/>
  <c r="N194" i="30"/>
  <c r="O194"/>
  <c r="M159" i="2"/>
  <c r="J40"/>
  <c r="N39"/>
  <c r="J39" s="1"/>
  <c r="O151"/>
  <c r="O45" s="1"/>
  <c r="I194" i="30"/>
  <c r="H194"/>
  <c r="N159" i="2"/>
  <c r="J22"/>
  <c r="J44" s="1"/>
  <c r="J45" s="1"/>
  <c r="J94" i="3"/>
  <c r="J175" i="2" l="1"/>
  <c r="J169" s="1"/>
  <c r="L169"/>
  <c r="J159"/>
  <c r="O153"/>
  <c r="L151"/>
  <c r="O152"/>
  <c r="L159"/>
  <c r="O161"/>
  <c r="O162" s="1"/>
  <c r="O155"/>
  <c r="O157" s="1"/>
  <c r="O160"/>
  <c r="K159"/>
  <c r="K152"/>
  <c r="K151"/>
  <c r="K45" l="1"/>
  <c r="K163" s="1"/>
  <c r="O163"/>
  <c r="L155"/>
  <c r="L157" s="1"/>
  <c r="L161"/>
  <c r="L162" s="1"/>
  <c r="J160"/>
  <c r="L152"/>
  <c r="K161"/>
  <c r="K162" s="1"/>
  <c r="K155"/>
  <c r="O59" i="29"/>
  <c r="O59" i="27"/>
  <c r="O59" i="28" s="1"/>
  <c r="O59" i="26"/>
  <c r="I59"/>
  <c r="I59" i="19"/>
  <c r="I59" i="12"/>
  <c r="I59" i="1"/>
  <c r="I46" s="1"/>
  <c r="L64" i="19"/>
  <c r="L64" i="31" s="1"/>
  <c r="K64" i="19"/>
  <c r="F64"/>
  <c r="F52"/>
  <c r="F64" i="12"/>
  <c r="F52"/>
  <c r="I147" i="11"/>
  <c r="F64" i="1"/>
  <c r="F64" i="27" s="1"/>
  <c r="F64" i="28" s="1"/>
  <c r="F52" i="27"/>
  <c r="F52" i="28" s="1"/>
  <c r="F28" i="18"/>
  <c r="F9"/>
  <c r="F18"/>
  <c r="G28"/>
  <c r="G174" s="1"/>
  <c r="G18"/>
  <c r="H28"/>
  <c r="H174" s="1"/>
  <c r="F28" i="15"/>
  <c r="F9"/>
  <c r="F18"/>
  <c r="G28"/>
  <c r="G174" s="1"/>
  <c r="G18"/>
  <c r="H28"/>
  <c r="H174" s="1"/>
  <c r="F28" i="13"/>
  <c r="F9"/>
  <c r="F18"/>
  <c r="G28"/>
  <c r="G174" s="1"/>
  <c r="G18"/>
  <c r="H28"/>
  <c r="H174" s="1"/>
  <c r="F28" i="10"/>
  <c r="F9"/>
  <c r="F18"/>
  <c r="G28"/>
  <c r="G174" s="1"/>
  <c r="G18"/>
  <c r="H28"/>
  <c r="H174" s="1"/>
  <c r="F28" i="8"/>
  <c r="F9"/>
  <c r="F18"/>
  <c r="G28"/>
  <c r="G174" s="1"/>
  <c r="G18"/>
  <c r="H28"/>
  <c r="H174" s="1"/>
  <c r="F28" i="6"/>
  <c r="F9"/>
  <c r="F18"/>
  <c r="G28"/>
  <c r="G174" s="1"/>
  <c r="G18"/>
  <c r="H28"/>
  <c r="H174" s="1"/>
  <c r="F9" i="4"/>
  <c r="F18"/>
  <c r="G18"/>
  <c r="F9" i="3"/>
  <c r="F18"/>
  <c r="G18"/>
  <c r="F9" i="2"/>
  <c r="F18"/>
  <c r="G18"/>
  <c r="I150" i="31"/>
  <c r="G29" i="18"/>
  <c r="G176" s="1"/>
  <c r="J158" i="15"/>
  <c r="O147" i="1"/>
  <c r="O147" i="12"/>
  <c r="N53"/>
  <c r="M53"/>
  <c r="O158" i="1"/>
  <c r="O158" i="27" s="1"/>
  <c r="O158" i="28" s="1"/>
  <c r="O158" i="12"/>
  <c r="N158" i="1"/>
  <c r="N158" i="12"/>
  <c r="M158" i="1"/>
  <c r="M158" i="27" s="1"/>
  <c r="M158" i="28" s="1"/>
  <c r="M158" i="12"/>
  <c r="L158" i="1"/>
  <c r="L158" i="27" s="1"/>
  <c r="L158" i="28" s="1"/>
  <c r="L158" i="12"/>
  <c r="L154" i="1"/>
  <c r="J154" s="1"/>
  <c r="L154" i="12"/>
  <c r="N147" i="1"/>
  <c r="N147" i="27" s="1"/>
  <c r="N147" i="28" s="1"/>
  <c r="N147" i="12"/>
  <c r="M147" i="1"/>
  <c r="M147" i="12"/>
  <c r="L147"/>
  <c r="K147" i="1"/>
  <c r="K147" i="12"/>
  <c r="N146" i="1"/>
  <c r="N146" i="27" s="1"/>
  <c r="N146" i="28" s="1"/>
  <c r="N146" i="12"/>
  <c r="M146" i="1"/>
  <c r="M146" i="27" s="1"/>
  <c r="M146" i="12"/>
  <c r="L146"/>
  <c r="O146" i="1"/>
  <c r="O146" i="12"/>
  <c r="O144" i="1"/>
  <c r="J144" s="1"/>
  <c r="O144" i="12"/>
  <c r="L89" i="1"/>
  <c r="L89" i="12"/>
  <c r="L83" i="1"/>
  <c r="L83" i="27" s="1"/>
  <c r="L83" i="12"/>
  <c r="N73" i="1"/>
  <c r="N73" i="27" s="1"/>
  <c r="N73" i="28" s="1"/>
  <c r="N73" i="12"/>
  <c r="M73" i="1"/>
  <c r="M73" i="12"/>
  <c r="N71" i="1"/>
  <c r="N46" s="1"/>
  <c r="N71" i="12"/>
  <c r="M71" i="1"/>
  <c r="M46" s="1"/>
  <c r="M71" i="12"/>
  <c r="K65" i="1"/>
  <c r="K65" i="12"/>
  <c r="L64" i="1"/>
  <c r="L64" i="27" s="1"/>
  <c r="L64" i="28" s="1"/>
  <c r="L64" i="12"/>
  <c r="K64" i="1"/>
  <c r="K64" i="12"/>
  <c r="L59" i="1"/>
  <c r="L46" s="1"/>
  <c r="L59" i="12"/>
  <c r="K59"/>
  <c r="N57" i="27"/>
  <c r="N57" i="12"/>
  <c r="O52" i="27"/>
  <c r="O52" i="28" s="1"/>
  <c r="O52" i="12"/>
  <c r="N52"/>
  <c r="M52" i="27"/>
  <c r="M52" i="28" s="1"/>
  <c r="M52" i="12"/>
  <c r="L52"/>
  <c r="N49"/>
  <c r="N47"/>
  <c r="N46" s="1"/>
  <c r="L47"/>
  <c r="L46" s="1"/>
  <c r="K47"/>
  <c r="K46" s="1"/>
  <c r="N38" i="1"/>
  <c r="N38" i="12"/>
  <c r="M37" i="1"/>
  <c r="M37" i="27" s="1"/>
  <c r="M37" i="12"/>
  <c r="L37" i="1"/>
  <c r="L37" i="12"/>
  <c r="L36" i="1"/>
  <c r="L36" i="27" s="1"/>
  <c r="L36" i="12"/>
  <c r="M21" i="1"/>
  <c r="M21" i="27" s="1"/>
  <c r="M21" i="28" s="1"/>
  <c r="M21" i="12"/>
  <c r="M20" i="1"/>
  <c r="M20" i="27" s="1"/>
  <c r="M27" s="1"/>
  <c r="M20" i="12"/>
  <c r="L21" i="1"/>
  <c r="L21" i="27" s="1"/>
  <c r="L21" i="12"/>
  <c r="L20" i="1"/>
  <c r="L20" i="12"/>
  <c r="L19" i="1"/>
  <c r="L19" i="27" s="1"/>
  <c r="L19" i="12"/>
  <c r="O17" i="1"/>
  <c r="O17" i="12"/>
  <c r="N17" i="1"/>
  <c r="N17" i="27" s="1"/>
  <c r="N17" i="28" s="1"/>
  <c r="N17" i="12"/>
  <c r="M17" i="1"/>
  <c r="M17" i="27" s="1"/>
  <c r="M17" i="28" s="1"/>
  <c r="M17" i="12"/>
  <c r="L17" i="1"/>
  <c r="L17" i="27" s="1"/>
  <c r="L17" i="28" s="1"/>
  <c r="L17" i="12"/>
  <c r="K17" i="1"/>
  <c r="K17" i="27" s="1"/>
  <c r="K17" i="12"/>
  <c r="M14" i="1"/>
  <c r="M14" i="27" s="1"/>
  <c r="M14" i="12"/>
  <c r="N12" i="1"/>
  <c r="N12" i="27" s="1"/>
  <c r="N12" i="12"/>
  <c r="M12" i="1"/>
  <c r="M12" i="27" s="1"/>
  <c r="M12" i="12"/>
  <c r="L12" i="1"/>
  <c r="L12" i="27" s="1"/>
  <c r="L12" i="28" s="1"/>
  <c r="L12" i="12"/>
  <c r="L11" i="1"/>
  <c r="L11" i="27" s="1"/>
  <c r="L11" i="12"/>
  <c r="L10" i="1"/>
  <c r="L10" i="27" s="1"/>
  <c r="J10" s="1"/>
  <c r="L10" i="12"/>
  <c r="O8" i="1"/>
  <c r="O24" s="1"/>
  <c r="O8" i="12"/>
  <c r="N8" i="1"/>
  <c r="N8" i="27" s="1"/>
  <c r="N8" i="12"/>
  <c r="M8" i="1"/>
  <c r="M8" i="27" s="1"/>
  <c r="M8" i="12"/>
  <c r="L8" i="1"/>
  <c r="L8" i="27" s="1"/>
  <c r="L8" i="12"/>
  <c r="K8" i="1"/>
  <c r="K8" i="27" s="1"/>
  <c r="K8" i="12"/>
  <c r="I24" i="2"/>
  <c r="I24" i="3"/>
  <c r="I24" i="4"/>
  <c r="I24" i="6"/>
  <c r="I24" i="8"/>
  <c r="I24" i="10"/>
  <c r="I24" i="13"/>
  <c r="I24" i="15"/>
  <c r="I8" i="1"/>
  <c r="I8" i="27" s="1"/>
  <c r="I8" i="12"/>
  <c r="I17" i="1"/>
  <c r="I17" i="27" s="1"/>
  <c r="I17" i="28" s="1"/>
  <c r="I17" i="12"/>
  <c r="I47"/>
  <c r="I46" s="1"/>
  <c r="I146"/>
  <c r="H24" i="2"/>
  <c r="H28"/>
  <c r="H174" s="1"/>
  <c r="H24" i="3"/>
  <c r="H28"/>
  <c r="H174" s="1"/>
  <c r="H24" i="4"/>
  <c r="H9"/>
  <c r="H28"/>
  <c r="H174" s="1"/>
  <c r="H24" i="6"/>
  <c r="H9"/>
  <c r="H24" i="8"/>
  <c r="H9"/>
  <c r="H24" i="10"/>
  <c r="H9"/>
  <c r="H24" i="13"/>
  <c r="H9"/>
  <c r="H24" i="15"/>
  <c r="H9"/>
  <c r="H8" i="1"/>
  <c r="H8" i="27" s="1"/>
  <c r="H8" i="12"/>
  <c r="H17" i="1"/>
  <c r="H17" i="27" s="1"/>
  <c r="H17" i="28" s="1"/>
  <c r="H17" i="12"/>
  <c r="H12" i="1"/>
  <c r="H12" i="27" s="1"/>
  <c r="H28" s="1"/>
  <c r="H174" s="1"/>
  <c r="H12" i="12"/>
  <c r="H47"/>
  <c r="H71" i="1"/>
  <c r="H46" s="1"/>
  <c r="H71" i="12"/>
  <c r="H146" i="27"/>
  <c r="H146" i="12"/>
  <c r="G24" i="2"/>
  <c r="G28"/>
  <c r="G174" s="1"/>
  <c r="G29"/>
  <c r="G176" s="1"/>
  <c r="G24" i="3"/>
  <c r="G28"/>
  <c r="G174" s="1"/>
  <c r="G29"/>
  <c r="G176" s="1"/>
  <c r="G24" i="4"/>
  <c r="G9"/>
  <c r="G25" s="1"/>
  <c r="G28"/>
  <c r="G174" s="1"/>
  <c r="G29"/>
  <c r="G176" s="1"/>
  <c r="G24" i="6"/>
  <c r="G9"/>
  <c r="G25" s="1"/>
  <c r="G29"/>
  <c r="G176" s="1"/>
  <c r="G24" i="8"/>
  <c r="G9"/>
  <c r="G25" s="1"/>
  <c r="G29"/>
  <c r="G176" s="1"/>
  <c r="G24" i="10"/>
  <c r="G9"/>
  <c r="G25" s="1"/>
  <c r="G29"/>
  <c r="G176" s="1"/>
  <c r="G24" i="13"/>
  <c r="G9"/>
  <c r="G25" s="1"/>
  <c r="G29"/>
  <c r="G176" s="1"/>
  <c r="G24" i="15"/>
  <c r="G9"/>
  <c r="G25" s="1"/>
  <c r="G29"/>
  <c r="G176" s="1"/>
  <c r="G8" i="1"/>
  <c r="G8" i="27" s="1"/>
  <c r="G8" i="28" s="1"/>
  <c r="G8" i="12"/>
  <c r="G17" i="1"/>
  <c r="G17" i="27" s="1"/>
  <c r="G17" i="28" s="1"/>
  <c r="G17" i="12"/>
  <c r="G12" i="1"/>
  <c r="G12" i="27" s="1"/>
  <c r="G12" i="12"/>
  <c r="G21" i="1"/>
  <c r="G21" i="27" s="1"/>
  <c r="G21" i="28" s="1"/>
  <c r="G21" i="12"/>
  <c r="G14" i="1"/>
  <c r="G14" i="27" s="1"/>
  <c r="G14" i="12"/>
  <c r="G20" i="1"/>
  <c r="G20" i="27" s="1"/>
  <c r="G20" i="12"/>
  <c r="G47"/>
  <c r="G71" i="1"/>
  <c r="G46" s="1"/>
  <c r="G71" i="12"/>
  <c r="H50" i="27"/>
  <c r="H50" i="12"/>
  <c r="G146" i="27"/>
  <c r="G146" i="28" s="1"/>
  <c r="G146" i="12"/>
  <c r="F24" i="2"/>
  <c r="F28"/>
  <c r="F24" i="3"/>
  <c r="F28"/>
  <c r="G73" i="1"/>
  <c r="F24" i="4"/>
  <c r="F28"/>
  <c r="F24" i="6"/>
  <c r="F24" i="8"/>
  <c r="F24" i="10"/>
  <c r="F24" i="13"/>
  <c r="F24" i="15"/>
  <c r="F8" i="1"/>
  <c r="F8" i="27" s="1"/>
  <c r="F8" i="12"/>
  <c r="F17" i="1"/>
  <c r="F17" i="27" s="1"/>
  <c r="F17" i="12"/>
  <c r="F10" i="1"/>
  <c r="F10" i="12"/>
  <c r="F11" i="1"/>
  <c r="F11" i="27" s="1"/>
  <c r="F11" i="12"/>
  <c r="F19" i="1"/>
  <c r="F19" i="27" s="1"/>
  <c r="F19" i="12"/>
  <c r="F20" i="1"/>
  <c r="F20" i="27" s="1"/>
  <c r="F20" i="12"/>
  <c r="F12" i="1"/>
  <c r="F12" i="12"/>
  <c r="F21" i="1"/>
  <c r="F21" i="27" s="1"/>
  <c r="F21" i="28" s="1"/>
  <c r="F21" i="12"/>
  <c r="F28" s="1"/>
  <c r="F47" i="27"/>
  <c r="F47" i="12"/>
  <c r="F59" i="1"/>
  <c r="F59" i="12"/>
  <c r="F83" i="1"/>
  <c r="F83" i="27" s="1"/>
  <c r="F83" i="28" s="1"/>
  <c r="D83" s="1"/>
  <c r="F83" i="12"/>
  <c r="H49"/>
  <c r="F146" i="27"/>
  <c r="F146" i="28" s="1"/>
  <c r="F146" i="12"/>
  <c r="E8" i="1"/>
  <c r="E8" i="27" s="1"/>
  <c r="E8" i="28" s="1"/>
  <c r="E8" i="12"/>
  <c r="E17" i="1"/>
  <c r="E17" i="27" s="1"/>
  <c r="E17" i="28" s="1"/>
  <c r="E17" i="12"/>
  <c r="E47" i="27"/>
  <c r="E47" i="12"/>
  <c r="E59" i="1"/>
  <c r="E46" s="1"/>
  <c r="E59" i="12"/>
  <c r="E146"/>
  <c r="E24" i="13"/>
  <c r="E24" i="15"/>
  <c r="F89" i="1"/>
  <c r="F89" i="27" s="1"/>
  <c r="F89" i="28" s="1"/>
  <c r="D89" s="1"/>
  <c r="F89" i="12"/>
  <c r="E65" i="1"/>
  <c r="E65" i="27" s="1"/>
  <c r="E65" i="28" s="1"/>
  <c r="D65" s="1"/>
  <c r="E65" i="12"/>
  <c r="H57" i="27"/>
  <c r="H57" i="28" s="1"/>
  <c r="D57" s="1"/>
  <c r="H57" i="12"/>
  <c r="H53" i="27"/>
  <c r="H53" i="28" s="1"/>
  <c r="H53" i="12"/>
  <c r="G53" i="27"/>
  <c r="G53" i="28" s="1"/>
  <c r="G53" i="12"/>
  <c r="D7" i="30"/>
  <c r="J7"/>
  <c r="E9"/>
  <c r="G9"/>
  <c r="H9"/>
  <c r="I9"/>
  <c r="K9"/>
  <c r="M9"/>
  <c r="N9"/>
  <c r="N25" s="1"/>
  <c r="O9"/>
  <c r="D16"/>
  <c r="J16"/>
  <c r="E18"/>
  <c r="H18"/>
  <c r="I18"/>
  <c r="I25" s="1"/>
  <c r="K18"/>
  <c r="N18"/>
  <c r="O18"/>
  <c r="E23"/>
  <c r="F23"/>
  <c r="G23"/>
  <c r="H23"/>
  <c r="I23"/>
  <c r="K23"/>
  <c r="L23"/>
  <c r="M23"/>
  <c r="N23"/>
  <c r="O23"/>
  <c r="E25"/>
  <c r="E26"/>
  <c r="G26"/>
  <c r="H26"/>
  <c r="I26"/>
  <c r="K26"/>
  <c r="M26"/>
  <c r="N26"/>
  <c r="O26"/>
  <c r="E27"/>
  <c r="H27"/>
  <c r="I27"/>
  <c r="K27"/>
  <c r="N27"/>
  <c r="O27"/>
  <c r="E28"/>
  <c r="I28"/>
  <c r="I174" s="1"/>
  <c r="K28"/>
  <c r="O28"/>
  <c r="O174" s="1"/>
  <c r="E29"/>
  <c r="F29"/>
  <c r="H29"/>
  <c r="H176" s="1"/>
  <c r="I29"/>
  <c r="I176" s="1"/>
  <c r="K29"/>
  <c r="L29"/>
  <c r="N29"/>
  <c r="N176" s="1"/>
  <c r="O29"/>
  <c r="O176" s="1"/>
  <c r="F30"/>
  <c r="L30"/>
  <c r="I32"/>
  <c r="I172" s="1"/>
  <c r="O32"/>
  <c r="O172" s="1"/>
  <c r="I34"/>
  <c r="O34"/>
  <c r="D35"/>
  <c r="J35"/>
  <c r="F40"/>
  <c r="L40"/>
  <c r="E41"/>
  <c r="K41"/>
  <c r="E42"/>
  <c r="K42"/>
  <c r="D48"/>
  <c r="J48"/>
  <c r="D51"/>
  <c r="J51"/>
  <c r="D52"/>
  <c r="D54"/>
  <c r="J54"/>
  <c r="D55"/>
  <c r="J55"/>
  <c r="D56"/>
  <c r="J56"/>
  <c r="D60"/>
  <c r="J60"/>
  <c r="D61"/>
  <c r="J61"/>
  <c r="D62"/>
  <c r="J62"/>
  <c r="D63"/>
  <c r="J63"/>
  <c r="D66"/>
  <c r="J66"/>
  <c r="D67"/>
  <c r="J67"/>
  <c r="D68"/>
  <c r="J68"/>
  <c r="D69"/>
  <c r="J69"/>
  <c r="D70"/>
  <c r="J70"/>
  <c r="D72"/>
  <c r="J72"/>
  <c r="D74"/>
  <c r="J74"/>
  <c r="D75"/>
  <c r="J75"/>
  <c r="D76"/>
  <c r="J76"/>
  <c r="D78"/>
  <c r="J78"/>
  <c r="D79"/>
  <c r="J79"/>
  <c r="D80"/>
  <c r="J80"/>
  <c r="D81"/>
  <c r="J81"/>
  <c r="D82"/>
  <c r="J82"/>
  <c r="D84"/>
  <c r="J84"/>
  <c r="D85"/>
  <c r="J85"/>
  <c r="D86"/>
  <c r="J86"/>
  <c r="D87"/>
  <c r="J87"/>
  <c r="D88"/>
  <c r="J88"/>
  <c r="D90"/>
  <c r="J90"/>
  <c r="D91"/>
  <c r="J91"/>
  <c r="D92"/>
  <c r="J92"/>
  <c r="D93"/>
  <c r="J93"/>
  <c r="D94"/>
  <c r="J94"/>
  <c r="D154"/>
  <c r="N71" i="19"/>
  <c r="M71"/>
  <c r="L83"/>
  <c r="L89"/>
  <c r="N73"/>
  <c r="N73" i="31" s="1"/>
  <c r="M73" i="19"/>
  <c r="M73" i="31" s="1"/>
  <c r="K23" i="13"/>
  <c r="K24"/>
  <c r="K9"/>
  <c r="K18"/>
  <c r="K28"/>
  <c r="K29"/>
  <c r="L23"/>
  <c r="L24"/>
  <c r="L9"/>
  <c r="L18"/>
  <c r="L28"/>
  <c r="L174" s="1"/>
  <c r="L29"/>
  <c r="L176" s="1"/>
  <c r="M23"/>
  <c r="M24"/>
  <c r="M9"/>
  <c r="M18"/>
  <c r="M28"/>
  <c r="M174" s="1"/>
  <c r="M29"/>
  <c r="M176" s="1"/>
  <c r="N23"/>
  <c r="N24"/>
  <c r="N9"/>
  <c r="N28"/>
  <c r="N174" s="1"/>
  <c r="N29"/>
  <c r="N176" s="1"/>
  <c r="O23"/>
  <c r="O24"/>
  <c r="O9"/>
  <c r="O25" s="1"/>
  <c r="O28"/>
  <c r="O174" s="1"/>
  <c r="O29"/>
  <c r="O176" s="1"/>
  <c r="K158" i="29"/>
  <c r="K158" i="30" s="1"/>
  <c r="I23" i="13"/>
  <c r="I9"/>
  <c r="I18"/>
  <c r="I28"/>
  <c r="I174" s="1"/>
  <c r="I29"/>
  <c r="I176" s="1"/>
  <c r="I32"/>
  <c r="I172" s="1"/>
  <c r="I34"/>
  <c r="H23"/>
  <c r="H18"/>
  <c r="H29"/>
  <c r="H176" s="1"/>
  <c r="G23"/>
  <c r="G175" s="1"/>
  <c r="F23"/>
  <c r="F29"/>
  <c r="F30"/>
  <c r="E23"/>
  <c r="E9"/>
  <c r="E18"/>
  <c r="E28"/>
  <c r="E29"/>
  <c r="D7" i="29"/>
  <c r="J7"/>
  <c r="E9"/>
  <c r="G9"/>
  <c r="H9"/>
  <c r="I9"/>
  <c r="K9"/>
  <c r="M9"/>
  <c r="N9"/>
  <c r="N25" s="1"/>
  <c r="O9"/>
  <c r="J16"/>
  <c r="D16"/>
  <c r="E18"/>
  <c r="H18"/>
  <c r="I18"/>
  <c r="I25" s="1"/>
  <c r="K18"/>
  <c r="N18"/>
  <c r="O18"/>
  <c r="O25" s="1"/>
  <c r="E23"/>
  <c r="F23"/>
  <c r="G23"/>
  <c r="H23"/>
  <c r="I23"/>
  <c r="K23"/>
  <c r="L23"/>
  <c r="M23"/>
  <c r="N23"/>
  <c r="O23"/>
  <c r="E25"/>
  <c r="E26"/>
  <c r="G26"/>
  <c r="H26"/>
  <c r="I26"/>
  <c r="K26"/>
  <c r="M26"/>
  <c r="N26"/>
  <c r="O26"/>
  <c r="E27"/>
  <c r="H27"/>
  <c r="I27"/>
  <c r="K27"/>
  <c r="N27"/>
  <c r="O27"/>
  <c r="E28"/>
  <c r="I28"/>
  <c r="I174" s="1"/>
  <c r="K28"/>
  <c r="O28"/>
  <c r="O174" s="1"/>
  <c r="E29"/>
  <c r="F29"/>
  <c r="H29"/>
  <c r="H176" s="1"/>
  <c r="I29"/>
  <c r="I176" s="1"/>
  <c r="K29"/>
  <c r="L29"/>
  <c r="N29"/>
  <c r="N176" s="1"/>
  <c r="O29"/>
  <c r="O176" s="1"/>
  <c r="F30"/>
  <c r="L30"/>
  <c r="I32"/>
  <c r="I172" s="1"/>
  <c r="O32"/>
  <c r="O172" s="1"/>
  <c r="I34"/>
  <c r="O34"/>
  <c r="D35"/>
  <c r="J35"/>
  <c r="F40"/>
  <c r="L40"/>
  <c r="E41"/>
  <c r="K41"/>
  <c r="E42"/>
  <c r="K42"/>
  <c r="D48"/>
  <c r="J48"/>
  <c r="D51"/>
  <c r="J51"/>
  <c r="D52"/>
  <c r="D54"/>
  <c r="J54"/>
  <c r="D55"/>
  <c r="J55"/>
  <c r="D56"/>
  <c r="J56"/>
  <c r="D60"/>
  <c r="J60"/>
  <c r="D61"/>
  <c r="J61"/>
  <c r="D62"/>
  <c r="J62"/>
  <c r="D63"/>
  <c r="J63"/>
  <c r="D66"/>
  <c r="J66"/>
  <c r="D67"/>
  <c r="J67"/>
  <c r="D68"/>
  <c r="J68"/>
  <c r="D69"/>
  <c r="J69"/>
  <c r="D70"/>
  <c r="J70"/>
  <c r="D72"/>
  <c r="J72"/>
  <c r="D74"/>
  <c r="J74"/>
  <c r="D75"/>
  <c r="J75"/>
  <c r="D76"/>
  <c r="J76"/>
  <c r="D78"/>
  <c r="J78"/>
  <c r="D79"/>
  <c r="J79"/>
  <c r="D80"/>
  <c r="J80"/>
  <c r="D81"/>
  <c r="J81"/>
  <c r="D82"/>
  <c r="J82"/>
  <c r="D84"/>
  <c r="J84"/>
  <c r="D85"/>
  <c r="J85"/>
  <c r="D86"/>
  <c r="J86"/>
  <c r="D87"/>
  <c r="J87"/>
  <c r="D88"/>
  <c r="J88"/>
  <c r="D90"/>
  <c r="J90"/>
  <c r="D91"/>
  <c r="J91"/>
  <c r="D92"/>
  <c r="J92"/>
  <c r="D93"/>
  <c r="J93"/>
  <c r="D94"/>
  <c r="J94"/>
  <c r="D154"/>
  <c r="H50" i="19"/>
  <c r="H50" i="31" s="1"/>
  <c r="D50" s="1"/>
  <c r="O17" i="27"/>
  <c r="L20"/>
  <c r="N38"/>
  <c r="J38" s="1"/>
  <c r="L37"/>
  <c r="N31" s="1"/>
  <c r="O47"/>
  <c r="O46" s="1"/>
  <c r="K47"/>
  <c r="N52"/>
  <c r="N52" i="28" s="1"/>
  <c r="L52" i="27"/>
  <c r="N49"/>
  <c r="K65"/>
  <c r="K64"/>
  <c r="M71"/>
  <c r="M73"/>
  <c r="L89"/>
  <c r="O147"/>
  <c r="O147" i="28" s="1"/>
  <c r="M147" i="27"/>
  <c r="M147" i="28" s="1"/>
  <c r="K147" i="27"/>
  <c r="K143" s="1"/>
  <c r="K146" i="28"/>
  <c r="L154" i="27"/>
  <c r="L154" i="28" s="1"/>
  <c r="J154" s="1"/>
  <c r="N158" i="27"/>
  <c r="N158" i="28" s="1"/>
  <c r="K158" i="27"/>
  <c r="F10"/>
  <c r="F10" i="28" s="1"/>
  <c r="F12" i="27"/>
  <c r="F12" i="28" s="1"/>
  <c r="H49" i="27"/>
  <c r="H49" i="28" s="1"/>
  <c r="D49" s="1"/>
  <c r="H73" i="1"/>
  <c r="E24" i="6"/>
  <c r="E24" i="8"/>
  <c r="E146" i="27"/>
  <c r="E146" i="28" s="1"/>
  <c r="E59" i="27"/>
  <c r="G9" i="28"/>
  <c r="H9"/>
  <c r="D7"/>
  <c r="J7"/>
  <c r="E9"/>
  <c r="I9"/>
  <c r="K9"/>
  <c r="M9"/>
  <c r="N9"/>
  <c r="O9"/>
  <c r="J16"/>
  <c r="D16"/>
  <c r="E18"/>
  <c r="H18"/>
  <c r="H25" s="1"/>
  <c r="I18"/>
  <c r="I25" s="1"/>
  <c r="K18"/>
  <c r="N18"/>
  <c r="O18"/>
  <c r="E23"/>
  <c r="F23"/>
  <c r="G23"/>
  <c r="H23"/>
  <c r="I23"/>
  <c r="K23"/>
  <c r="L23"/>
  <c r="M23"/>
  <c r="N23"/>
  <c r="O23"/>
  <c r="E25"/>
  <c r="G26"/>
  <c r="H26"/>
  <c r="E26"/>
  <c r="I26"/>
  <c r="K26"/>
  <c r="M26"/>
  <c r="N26"/>
  <c r="O26"/>
  <c r="H27"/>
  <c r="E27"/>
  <c r="I27"/>
  <c r="K27"/>
  <c r="N27"/>
  <c r="O27"/>
  <c r="E28"/>
  <c r="I28"/>
  <c r="I174" s="1"/>
  <c r="K28"/>
  <c r="O28"/>
  <c r="O174" s="1"/>
  <c r="E29"/>
  <c r="F29"/>
  <c r="F176" s="1"/>
  <c r="H29"/>
  <c r="H176" s="1"/>
  <c r="I29"/>
  <c r="I176" s="1"/>
  <c r="K29"/>
  <c r="L29"/>
  <c r="L176" s="1"/>
  <c r="N29"/>
  <c r="N176" s="1"/>
  <c r="O29"/>
  <c r="O176" s="1"/>
  <c r="F30"/>
  <c r="L30"/>
  <c r="I32"/>
  <c r="I172" s="1"/>
  <c r="O32"/>
  <c r="O172" s="1"/>
  <c r="I34"/>
  <c r="O34"/>
  <c r="D35"/>
  <c r="J35"/>
  <c r="F40"/>
  <c r="L40"/>
  <c r="E41"/>
  <c r="K41"/>
  <c r="E42"/>
  <c r="K42"/>
  <c r="D48"/>
  <c r="J48"/>
  <c r="D51"/>
  <c r="J51"/>
  <c r="D54"/>
  <c r="J54"/>
  <c r="D55"/>
  <c r="J55"/>
  <c r="D56"/>
  <c r="J56"/>
  <c r="D60"/>
  <c r="J60"/>
  <c r="D61"/>
  <c r="J61"/>
  <c r="D62"/>
  <c r="J62"/>
  <c r="D63"/>
  <c r="J63"/>
  <c r="D66"/>
  <c r="J66"/>
  <c r="D67"/>
  <c r="J67"/>
  <c r="D68"/>
  <c r="J68"/>
  <c r="D69"/>
  <c r="J69"/>
  <c r="D70"/>
  <c r="J70"/>
  <c r="D72"/>
  <c r="J72"/>
  <c r="D74"/>
  <c r="J74"/>
  <c r="D75"/>
  <c r="J75"/>
  <c r="D76"/>
  <c r="J76"/>
  <c r="D78"/>
  <c r="J78"/>
  <c r="D79"/>
  <c r="J79"/>
  <c r="D80"/>
  <c r="J80"/>
  <c r="D81"/>
  <c r="J81"/>
  <c r="D82"/>
  <c r="J82"/>
  <c r="D84"/>
  <c r="J84"/>
  <c r="D85"/>
  <c r="J85"/>
  <c r="D86"/>
  <c r="J86"/>
  <c r="D87"/>
  <c r="J87"/>
  <c r="D88"/>
  <c r="J88"/>
  <c r="D90"/>
  <c r="J90"/>
  <c r="D91"/>
  <c r="J91"/>
  <c r="D92"/>
  <c r="J92"/>
  <c r="D93"/>
  <c r="J93"/>
  <c r="D94"/>
  <c r="J94"/>
  <c r="D154"/>
  <c r="G147" i="11"/>
  <c r="G147" i="29" s="1"/>
  <c r="G147" i="30" s="1"/>
  <c r="N53" i="27"/>
  <c r="N53" i="28" s="1"/>
  <c r="M53" i="27"/>
  <c r="M53" i="28" s="1"/>
  <c r="D7" i="27"/>
  <c r="J7"/>
  <c r="E9"/>
  <c r="G9"/>
  <c r="H9"/>
  <c r="I9"/>
  <c r="K9"/>
  <c r="M9"/>
  <c r="N9"/>
  <c r="O9"/>
  <c r="O25" s="1"/>
  <c r="J16"/>
  <c r="D16"/>
  <c r="E18"/>
  <c r="H18"/>
  <c r="I18"/>
  <c r="K18"/>
  <c r="N18"/>
  <c r="O18"/>
  <c r="E23"/>
  <c r="F23"/>
  <c r="G23"/>
  <c r="H23"/>
  <c r="I23"/>
  <c r="K23"/>
  <c r="L23"/>
  <c r="M23"/>
  <c r="N23"/>
  <c r="O23"/>
  <c r="E25"/>
  <c r="N25"/>
  <c r="E26"/>
  <c r="G26"/>
  <c r="H26"/>
  <c r="I26"/>
  <c r="K26"/>
  <c r="M26"/>
  <c r="N26"/>
  <c r="O26"/>
  <c r="E27"/>
  <c r="H27"/>
  <c r="I27"/>
  <c r="K27"/>
  <c r="N27"/>
  <c r="O27"/>
  <c r="E28"/>
  <c r="I28"/>
  <c r="I174" s="1"/>
  <c r="K28"/>
  <c r="O28"/>
  <c r="O174" s="1"/>
  <c r="E29"/>
  <c r="F29"/>
  <c r="H29"/>
  <c r="H176" s="1"/>
  <c r="I29"/>
  <c r="I176" s="1"/>
  <c r="K29"/>
  <c r="L29"/>
  <c r="N29"/>
  <c r="N176" s="1"/>
  <c r="O29"/>
  <c r="O176" s="1"/>
  <c r="F30"/>
  <c r="L30"/>
  <c r="I32"/>
  <c r="I172" s="1"/>
  <c r="O32"/>
  <c r="O172" s="1"/>
  <c r="I34"/>
  <c r="O34"/>
  <c r="D35"/>
  <c r="J35"/>
  <c r="F40"/>
  <c r="L40"/>
  <c r="E41"/>
  <c r="K41"/>
  <c r="E42"/>
  <c r="K42"/>
  <c r="D48"/>
  <c r="J48"/>
  <c r="D51"/>
  <c r="J51"/>
  <c r="D54"/>
  <c r="J54"/>
  <c r="D55"/>
  <c r="J55"/>
  <c r="D56"/>
  <c r="J56"/>
  <c r="D60"/>
  <c r="J60"/>
  <c r="D61"/>
  <c r="J61"/>
  <c r="D62"/>
  <c r="J62"/>
  <c r="D63"/>
  <c r="J63"/>
  <c r="D66"/>
  <c r="J66"/>
  <c r="D67"/>
  <c r="J67"/>
  <c r="D68"/>
  <c r="J68"/>
  <c r="D69"/>
  <c r="J69"/>
  <c r="D70"/>
  <c r="J70"/>
  <c r="D72"/>
  <c r="J72"/>
  <c r="D74"/>
  <c r="J74"/>
  <c r="D75"/>
  <c r="J75"/>
  <c r="D76"/>
  <c r="J76"/>
  <c r="D78"/>
  <c r="J78"/>
  <c r="D79"/>
  <c r="J79"/>
  <c r="D80"/>
  <c r="J80"/>
  <c r="D81"/>
  <c r="J81"/>
  <c r="D82"/>
  <c r="J82"/>
  <c r="D84"/>
  <c r="J84"/>
  <c r="D85"/>
  <c r="J85"/>
  <c r="D86"/>
  <c r="J86"/>
  <c r="D87"/>
  <c r="J87"/>
  <c r="D88"/>
  <c r="J88"/>
  <c r="D90"/>
  <c r="J90"/>
  <c r="D91"/>
  <c r="J91"/>
  <c r="D92"/>
  <c r="J92"/>
  <c r="D93"/>
  <c r="J93"/>
  <c r="D94"/>
  <c r="J94"/>
  <c r="D154"/>
  <c r="N53" i="19"/>
  <c r="M53"/>
  <c r="N49"/>
  <c r="N50"/>
  <c r="N143" i="1"/>
  <c r="N180" s="1"/>
  <c r="M143"/>
  <c r="M180" s="1"/>
  <c r="K143"/>
  <c r="O33"/>
  <c r="O173" s="1"/>
  <c r="O12"/>
  <c r="O28" s="1"/>
  <c r="O174" s="1"/>
  <c r="O7"/>
  <c r="O16"/>
  <c r="N31"/>
  <c r="N171" s="1"/>
  <c r="N170" s="1"/>
  <c r="N32"/>
  <c r="N172" s="1"/>
  <c r="N7"/>
  <c r="N16"/>
  <c r="N24"/>
  <c r="M31"/>
  <c r="M171" s="1"/>
  <c r="M28"/>
  <c r="M174" s="1"/>
  <c r="M7"/>
  <c r="M16"/>
  <c r="M24"/>
  <c r="M19"/>
  <c r="M18" s="1"/>
  <c r="M29"/>
  <c r="M176" s="1"/>
  <c r="L28"/>
  <c r="L7"/>
  <c r="L16"/>
  <c r="L24"/>
  <c r="L9"/>
  <c r="L18"/>
  <c r="K7"/>
  <c r="K16"/>
  <c r="K24"/>
  <c r="O147" i="19"/>
  <c r="N147"/>
  <c r="M147"/>
  <c r="M147" i="31" s="1"/>
  <c r="L147" i="19"/>
  <c r="L147" i="31" s="1"/>
  <c r="K147" i="19"/>
  <c r="K147" i="31" s="1"/>
  <c r="E24" i="10"/>
  <c r="E24" i="4"/>
  <c r="E24" i="3"/>
  <c r="I8" i="26"/>
  <c r="I17"/>
  <c r="I47"/>
  <c r="I46" s="1"/>
  <c r="H8"/>
  <c r="H17"/>
  <c r="H12"/>
  <c r="H28" s="1"/>
  <c r="H174" s="1"/>
  <c r="H47"/>
  <c r="H71"/>
  <c r="G8"/>
  <c r="G17"/>
  <c r="G20"/>
  <c r="G18" s="1"/>
  <c r="G12"/>
  <c r="G21"/>
  <c r="G14"/>
  <c r="G29" s="1"/>
  <c r="G176" s="1"/>
  <c r="G47"/>
  <c r="G71"/>
  <c r="D71" s="1"/>
  <c r="F47"/>
  <c r="F59"/>
  <c r="F83"/>
  <c r="D83" s="1"/>
  <c r="F8"/>
  <c r="F17"/>
  <c r="F10"/>
  <c r="D10" s="1"/>
  <c r="F11"/>
  <c r="F19"/>
  <c r="F26" s="1"/>
  <c r="F20"/>
  <c r="F12"/>
  <c r="D12" s="1"/>
  <c r="F21"/>
  <c r="E8"/>
  <c r="E17"/>
  <c r="E47"/>
  <c r="E46" s="1"/>
  <c r="E59"/>
  <c r="O158"/>
  <c r="N158"/>
  <c r="M158"/>
  <c r="L158"/>
  <c r="L154"/>
  <c r="J154" s="1"/>
  <c r="N147"/>
  <c r="M147"/>
  <c r="K147"/>
  <c r="N146"/>
  <c r="M146"/>
  <c r="O147"/>
  <c r="O146"/>
  <c r="O144"/>
  <c r="J144" s="1"/>
  <c r="L89"/>
  <c r="J89" s="1"/>
  <c r="L83"/>
  <c r="J83" s="1"/>
  <c r="N73"/>
  <c r="M73"/>
  <c r="N71"/>
  <c r="M71"/>
  <c r="K65"/>
  <c r="J65" s="1"/>
  <c r="L64"/>
  <c r="K64"/>
  <c r="L59"/>
  <c r="N57"/>
  <c r="J57" s="1"/>
  <c r="N53"/>
  <c r="M53"/>
  <c r="O52"/>
  <c r="N52"/>
  <c r="M52"/>
  <c r="L52"/>
  <c r="N49"/>
  <c r="O47"/>
  <c r="O46" s="1"/>
  <c r="L47"/>
  <c r="L46" s="1"/>
  <c r="K47"/>
  <c r="N38"/>
  <c r="O33" s="1"/>
  <c r="O173" s="1"/>
  <c r="N32"/>
  <c r="L37"/>
  <c r="N31" s="1"/>
  <c r="N171" s="1"/>
  <c r="M31"/>
  <c r="M171" s="1"/>
  <c r="M21"/>
  <c r="M20"/>
  <c r="M18" s="1"/>
  <c r="L21"/>
  <c r="J21" s="1"/>
  <c r="L20"/>
  <c r="J20" s="1"/>
  <c r="L19"/>
  <c r="J19" s="1"/>
  <c r="O17"/>
  <c r="N17"/>
  <c r="M17"/>
  <c r="L17"/>
  <c r="K17"/>
  <c r="M14"/>
  <c r="J14" s="1"/>
  <c r="N12"/>
  <c r="J13" s="1"/>
  <c r="M12"/>
  <c r="M28" s="1"/>
  <c r="M174" s="1"/>
  <c r="L12"/>
  <c r="L11"/>
  <c r="J11" s="1"/>
  <c r="L10"/>
  <c r="J10" s="1"/>
  <c r="O8"/>
  <c r="N8"/>
  <c r="M8"/>
  <c r="L8"/>
  <c r="K8"/>
  <c r="I146"/>
  <c r="H146"/>
  <c r="H143" s="1"/>
  <c r="H180" s="1"/>
  <c r="H50"/>
  <c r="D50" s="1"/>
  <c r="G146"/>
  <c r="G143" s="1"/>
  <c r="G180" s="1"/>
  <c r="H49"/>
  <c r="F146"/>
  <c r="F143" s="1"/>
  <c r="D73"/>
  <c r="E146"/>
  <c r="E143" s="1"/>
  <c r="E24" i="2"/>
  <c r="D24" s="1"/>
  <c r="F89" i="26"/>
  <c r="D89" s="1"/>
  <c r="E65"/>
  <c r="D65" s="1"/>
  <c r="E64"/>
  <c r="D64" s="1"/>
  <c r="H57"/>
  <c r="D57" s="1"/>
  <c r="H53"/>
  <c r="G53"/>
  <c r="G9"/>
  <c r="H9"/>
  <c r="D7"/>
  <c r="J7"/>
  <c r="E9"/>
  <c r="I9"/>
  <c r="K9"/>
  <c r="K25" s="1"/>
  <c r="M9"/>
  <c r="N9"/>
  <c r="O9"/>
  <c r="J16"/>
  <c r="D16"/>
  <c r="E18"/>
  <c r="H18"/>
  <c r="I18"/>
  <c r="K18"/>
  <c r="N18"/>
  <c r="O18"/>
  <c r="E23"/>
  <c r="F23"/>
  <c r="G23"/>
  <c r="H23"/>
  <c r="I23"/>
  <c r="K23"/>
  <c r="L23"/>
  <c r="M23"/>
  <c r="N23"/>
  <c r="O23"/>
  <c r="E25"/>
  <c r="G26"/>
  <c r="H26"/>
  <c r="E26"/>
  <c r="I26"/>
  <c r="K26"/>
  <c r="M26"/>
  <c r="N26"/>
  <c r="O26"/>
  <c r="G27"/>
  <c r="H27"/>
  <c r="E27"/>
  <c r="I27"/>
  <c r="K27"/>
  <c r="N27"/>
  <c r="O27"/>
  <c r="E28"/>
  <c r="I28"/>
  <c r="I174" s="1"/>
  <c r="K28"/>
  <c r="O28"/>
  <c r="O174" s="1"/>
  <c r="E29"/>
  <c r="F29"/>
  <c r="H29"/>
  <c r="H176" s="1"/>
  <c r="I29"/>
  <c r="I176" s="1"/>
  <c r="K29"/>
  <c r="L29"/>
  <c r="N29"/>
  <c r="N176" s="1"/>
  <c r="O29"/>
  <c r="O176" s="1"/>
  <c r="F30"/>
  <c r="L30"/>
  <c r="I32"/>
  <c r="I172" s="1"/>
  <c r="O32"/>
  <c r="O172" s="1"/>
  <c r="I34"/>
  <c r="O34"/>
  <c r="D35"/>
  <c r="J35"/>
  <c r="F40"/>
  <c r="L40"/>
  <c r="E41"/>
  <c r="K41"/>
  <c r="E42"/>
  <c r="K42"/>
  <c r="K143"/>
  <c r="D48"/>
  <c r="J48"/>
  <c r="D51"/>
  <c r="J51"/>
  <c r="D52"/>
  <c r="D54"/>
  <c r="J54"/>
  <c r="D55"/>
  <c r="J55"/>
  <c r="D56"/>
  <c r="J56"/>
  <c r="D60"/>
  <c r="J60"/>
  <c r="D61"/>
  <c r="J61"/>
  <c r="D62"/>
  <c r="J62"/>
  <c r="D63"/>
  <c r="J63"/>
  <c r="D66"/>
  <c r="J66"/>
  <c r="D67"/>
  <c r="J67"/>
  <c r="D68"/>
  <c r="J68"/>
  <c r="D69"/>
  <c r="J69"/>
  <c r="D70"/>
  <c r="J70"/>
  <c r="D72"/>
  <c r="J72"/>
  <c r="D74"/>
  <c r="J74"/>
  <c r="D75"/>
  <c r="J75"/>
  <c r="D76"/>
  <c r="D78"/>
  <c r="J78"/>
  <c r="D79"/>
  <c r="J79"/>
  <c r="D80"/>
  <c r="J80"/>
  <c r="D81"/>
  <c r="J81"/>
  <c r="D82"/>
  <c r="J82"/>
  <c r="D84"/>
  <c r="J84"/>
  <c r="D85"/>
  <c r="J85"/>
  <c r="D86"/>
  <c r="J86"/>
  <c r="D87"/>
  <c r="J87"/>
  <c r="D88"/>
  <c r="J88"/>
  <c r="D90"/>
  <c r="J90"/>
  <c r="D91"/>
  <c r="J91"/>
  <c r="D92"/>
  <c r="J92"/>
  <c r="D93"/>
  <c r="J93"/>
  <c r="D94"/>
  <c r="J94"/>
  <c r="D144"/>
  <c r="D147"/>
  <c r="D154"/>
  <c r="H147" i="31"/>
  <c r="G147"/>
  <c r="F147"/>
  <c r="E147"/>
  <c r="E64" i="1"/>
  <c r="E64" i="27" s="1"/>
  <c r="E64" i="28" s="1"/>
  <c r="D64" s="1"/>
  <c r="E59" i="19"/>
  <c r="E47"/>
  <c r="E46" s="1"/>
  <c r="E8"/>
  <c r="E17"/>
  <c r="F24" i="18"/>
  <c r="F59" i="19"/>
  <c r="F83"/>
  <c r="F47"/>
  <c r="F46" s="1"/>
  <c r="F11"/>
  <c r="F10"/>
  <c r="F20"/>
  <c r="F19"/>
  <c r="F12"/>
  <c r="F21"/>
  <c r="F8"/>
  <c r="F17"/>
  <c r="G20"/>
  <c r="G14"/>
  <c r="G29" s="1"/>
  <c r="G176" s="1"/>
  <c r="G12"/>
  <c r="G21"/>
  <c r="G8"/>
  <c r="G17"/>
  <c r="G24" i="18"/>
  <c r="G9"/>
  <c r="G25" s="1"/>
  <c r="G71" i="19"/>
  <c r="G47"/>
  <c r="G46" s="1"/>
  <c r="H12"/>
  <c r="H8"/>
  <c r="H17"/>
  <c r="H24" i="18"/>
  <c r="H9"/>
  <c r="H71" i="19"/>
  <c r="H47"/>
  <c r="I8"/>
  <c r="I17"/>
  <c r="I47"/>
  <c r="I46" s="1"/>
  <c r="E24" i="1"/>
  <c r="F9"/>
  <c r="F18"/>
  <c r="F28"/>
  <c r="F24"/>
  <c r="F31"/>
  <c r="F30" s="1"/>
  <c r="H28"/>
  <c r="H174" s="1"/>
  <c r="H24"/>
  <c r="I24"/>
  <c r="I32" i="18"/>
  <c r="I172" s="1"/>
  <c r="H23"/>
  <c r="H18"/>
  <c r="H25" s="1"/>
  <c r="H29"/>
  <c r="H176" s="1"/>
  <c r="F23"/>
  <c r="D23" s="1"/>
  <c r="F29"/>
  <c r="F30"/>
  <c r="G23"/>
  <c r="G175" s="1"/>
  <c r="I28"/>
  <c r="I174" s="1"/>
  <c r="I23"/>
  <c r="I24"/>
  <c r="I9"/>
  <c r="I18"/>
  <c r="I15" s="1"/>
  <c r="I29"/>
  <c r="I176" s="1"/>
  <c r="E28"/>
  <c r="E23"/>
  <c r="E24"/>
  <c r="D24" s="1"/>
  <c r="E9"/>
  <c r="E18"/>
  <c r="E15" s="1"/>
  <c r="E29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E42"/>
  <c r="E41"/>
  <c r="F40"/>
  <c r="D35"/>
  <c r="I34"/>
  <c r="D29"/>
  <c r="D28"/>
  <c r="I27"/>
  <c r="H27"/>
  <c r="G27"/>
  <c r="F27"/>
  <c r="E27"/>
  <c r="I26"/>
  <c r="H26"/>
  <c r="G26"/>
  <c r="F26"/>
  <c r="E26"/>
  <c r="D21"/>
  <c r="D20"/>
  <c r="D19"/>
  <c r="D17"/>
  <c r="D16"/>
  <c r="H15"/>
  <c r="G15"/>
  <c r="F15"/>
  <c r="D14"/>
  <c r="D13"/>
  <c r="D12"/>
  <c r="D11"/>
  <c r="D10"/>
  <c r="D8"/>
  <c r="D7"/>
  <c r="I6"/>
  <c r="H6"/>
  <c r="G6"/>
  <c r="F6"/>
  <c r="E6"/>
  <c r="I32" i="15"/>
  <c r="I172" s="1"/>
  <c r="H23"/>
  <c r="H18"/>
  <c r="H25" s="1"/>
  <c r="H29"/>
  <c r="H176" s="1"/>
  <c r="F23"/>
  <c r="F29"/>
  <c r="F30"/>
  <c r="G23"/>
  <c r="G175" s="1"/>
  <c r="I28"/>
  <c r="I174" s="1"/>
  <c r="I23"/>
  <c r="I9"/>
  <c r="I18"/>
  <c r="I29"/>
  <c r="I176" s="1"/>
  <c r="E28"/>
  <c r="E23"/>
  <c r="D23" s="1"/>
  <c r="E9"/>
  <c r="E18"/>
  <c r="E15" s="1"/>
  <c r="E29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E42"/>
  <c r="E41"/>
  <c r="F40"/>
  <c r="D35"/>
  <c r="I34"/>
  <c r="I27"/>
  <c r="H27"/>
  <c r="G27"/>
  <c r="F27"/>
  <c r="E27"/>
  <c r="I26"/>
  <c r="H26"/>
  <c r="G26"/>
  <c r="F26"/>
  <c r="E26"/>
  <c r="D24"/>
  <c r="D21"/>
  <c r="D20"/>
  <c r="D19"/>
  <c r="D17"/>
  <c r="D16"/>
  <c r="I15"/>
  <c r="H15"/>
  <c r="G15"/>
  <c r="F15"/>
  <c r="D14"/>
  <c r="D13"/>
  <c r="D12"/>
  <c r="D11"/>
  <c r="D10"/>
  <c r="D8"/>
  <c r="D7"/>
  <c r="I6"/>
  <c r="H6"/>
  <c r="G6"/>
  <c r="F6"/>
  <c r="E6"/>
  <c r="D94" i="13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E42"/>
  <c r="E41"/>
  <c r="F40"/>
  <c r="D35"/>
  <c r="D29"/>
  <c r="D28"/>
  <c r="I27"/>
  <c r="H27"/>
  <c r="G27"/>
  <c r="F27"/>
  <c r="E27"/>
  <c r="I26"/>
  <c r="H26"/>
  <c r="G26"/>
  <c r="F26"/>
  <c r="E26"/>
  <c r="D24"/>
  <c r="D23"/>
  <c r="D21"/>
  <c r="D20"/>
  <c r="D19"/>
  <c r="D17"/>
  <c r="D16"/>
  <c r="I15"/>
  <c r="H15"/>
  <c r="G15"/>
  <c r="F15"/>
  <c r="E15"/>
  <c r="D14"/>
  <c r="D13"/>
  <c r="D12"/>
  <c r="D11"/>
  <c r="D10"/>
  <c r="D8"/>
  <c r="D7"/>
  <c r="I6"/>
  <c r="H6"/>
  <c r="G6"/>
  <c r="F6"/>
  <c r="E6"/>
  <c r="I32" i="10"/>
  <c r="I172" s="1"/>
  <c r="H23"/>
  <c r="H18"/>
  <c r="H29"/>
  <c r="H176" s="1"/>
  <c r="F23"/>
  <c r="F29"/>
  <c r="F30"/>
  <c r="G23"/>
  <c r="G175" s="1"/>
  <c r="I28"/>
  <c r="I174" s="1"/>
  <c r="I23"/>
  <c r="I9"/>
  <c r="I18"/>
  <c r="I29"/>
  <c r="I176" s="1"/>
  <c r="E28"/>
  <c r="E23"/>
  <c r="D23" s="1"/>
  <c r="E9"/>
  <c r="E18"/>
  <c r="E29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E42"/>
  <c r="E41"/>
  <c r="F40"/>
  <c r="D35"/>
  <c r="I34"/>
  <c r="I27"/>
  <c r="H27"/>
  <c r="G27"/>
  <c r="F27"/>
  <c r="E27"/>
  <c r="I26"/>
  <c r="H26"/>
  <c r="G26"/>
  <c r="F26"/>
  <c r="E26"/>
  <c r="D24"/>
  <c r="D21"/>
  <c r="D20"/>
  <c r="D19"/>
  <c r="D17"/>
  <c r="D16"/>
  <c r="I15"/>
  <c r="H15"/>
  <c r="G15"/>
  <c r="F15"/>
  <c r="E15"/>
  <c r="D14"/>
  <c r="D13"/>
  <c r="D12"/>
  <c r="D11"/>
  <c r="D10"/>
  <c r="D8"/>
  <c r="D7"/>
  <c r="I6"/>
  <c r="H6"/>
  <c r="G6"/>
  <c r="F6"/>
  <c r="E6"/>
  <c r="I32" i="8"/>
  <c r="I172" s="1"/>
  <c r="H23"/>
  <c r="H18"/>
  <c r="H29"/>
  <c r="H176" s="1"/>
  <c r="F23"/>
  <c r="F29"/>
  <c r="F30"/>
  <c r="G23"/>
  <c r="G175" s="1"/>
  <c r="I28"/>
  <c r="I174" s="1"/>
  <c r="I23"/>
  <c r="I9"/>
  <c r="I18"/>
  <c r="I29"/>
  <c r="I176" s="1"/>
  <c r="E28"/>
  <c r="E23"/>
  <c r="E9"/>
  <c r="E18"/>
  <c r="E29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E42"/>
  <c r="E41"/>
  <c r="F40"/>
  <c r="D35"/>
  <c r="I34"/>
  <c r="D28"/>
  <c r="I27"/>
  <c r="H27"/>
  <c r="G27"/>
  <c r="F27"/>
  <c r="E27"/>
  <c r="I26"/>
  <c r="H26"/>
  <c r="G26"/>
  <c r="F26"/>
  <c r="E26"/>
  <c r="D24"/>
  <c r="D23"/>
  <c r="D21"/>
  <c r="D20"/>
  <c r="D19"/>
  <c r="D17"/>
  <c r="D16"/>
  <c r="I15"/>
  <c r="H15"/>
  <c r="G15"/>
  <c r="F15"/>
  <c r="E15"/>
  <c r="D14"/>
  <c r="D13"/>
  <c r="D12"/>
  <c r="D11"/>
  <c r="D10"/>
  <c r="D8"/>
  <c r="D7"/>
  <c r="I6"/>
  <c r="H6"/>
  <c r="G6"/>
  <c r="F6"/>
  <c r="E6"/>
  <c r="I32" i="6"/>
  <c r="I172" s="1"/>
  <c r="H23"/>
  <c r="H18"/>
  <c r="H29"/>
  <c r="H176" s="1"/>
  <c r="F23"/>
  <c r="F29"/>
  <c r="F30"/>
  <c r="G23"/>
  <c r="G175" s="1"/>
  <c r="I28"/>
  <c r="I174" s="1"/>
  <c r="I23"/>
  <c r="I9"/>
  <c r="I18"/>
  <c r="I29"/>
  <c r="I176" s="1"/>
  <c r="E28"/>
  <c r="E23"/>
  <c r="E9"/>
  <c r="E18"/>
  <c r="E29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E42"/>
  <c r="E41"/>
  <c r="F40"/>
  <c r="D35"/>
  <c r="I34"/>
  <c r="D29"/>
  <c r="I27"/>
  <c r="H27"/>
  <c r="G27"/>
  <c r="F27"/>
  <c r="E27"/>
  <c r="I26"/>
  <c r="H26"/>
  <c r="G26"/>
  <c r="F26"/>
  <c r="E26"/>
  <c r="D24"/>
  <c r="D21"/>
  <c r="D20"/>
  <c r="D19"/>
  <c r="D17"/>
  <c r="D16"/>
  <c r="I15"/>
  <c r="H15"/>
  <c r="G15"/>
  <c r="F15"/>
  <c r="D14"/>
  <c r="D13"/>
  <c r="D12"/>
  <c r="D11"/>
  <c r="D10"/>
  <c r="D8"/>
  <c r="D7"/>
  <c r="I6"/>
  <c r="H6"/>
  <c r="G6"/>
  <c r="F6"/>
  <c r="E6"/>
  <c r="I32" i="4"/>
  <c r="I172" s="1"/>
  <c r="H23"/>
  <c r="H175" s="1"/>
  <c r="H18"/>
  <c r="H25" s="1"/>
  <c r="H29"/>
  <c r="H176" s="1"/>
  <c r="F23"/>
  <c r="F29"/>
  <c r="F30"/>
  <c r="G23"/>
  <c r="G175" s="1"/>
  <c r="I28"/>
  <c r="I174" s="1"/>
  <c r="I23"/>
  <c r="I9"/>
  <c r="I18"/>
  <c r="I29"/>
  <c r="I176" s="1"/>
  <c r="E28"/>
  <c r="E23"/>
  <c r="E9"/>
  <c r="E18"/>
  <c r="E29"/>
  <c r="D29" s="1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E42"/>
  <c r="E41"/>
  <c r="F40"/>
  <c r="D35"/>
  <c r="I34"/>
  <c r="D28"/>
  <c r="I27"/>
  <c r="H27"/>
  <c r="G27"/>
  <c r="F27"/>
  <c r="E27"/>
  <c r="I26"/>
  <c r="H26"/>
  <c r="G26"/>
  <c r="F26"/>
  <c r="E26"/>
  <c r="D24"/>
  <c r="D23"/>
  <c r="D21"/>
  <c r="D20"/>
  <c r="D19"/>
  <c r="D17"/>
  <c r="D16"/>
  <c r="I15"/>
  <c r="H15"/>
  <c r="G15"/>
  <c r="F15"/>
  <c r="E15"/>
  <c r="D14"/>
  <c r="D13"/>
  <c r="D12"/>
  <c r="D11"/>
  <c r="D10"/>
  <c r="D8"/>
  <c r="D7"/>
  <c r="I6"/>
  <c r="H6"/>
  <c r="G6"/>
  <c r="F6"/>
  <c r="E6"/>
  <c r="I32" i="3"/>
  <c r="I172" s="1"/>
  <c r="H23"/>
  <c r="H9"/>
  <c r="H18"/>
  <c r="H15" s="1"/>
  <c r="H29"/>
  <c r="H176" s="1"/>
  <c r="F23"/>
  <c r="F29"/>
  <c r="F30"/>
  <c r="G23"/>
  <c r="G9"/>
  <c r="G25" s="1"/>
  <c r="I28"/>
  <c r="I174" s="1"/>
  <c r="I23"/>
  <c r="I9"/>
  <c r="I6" s="1"/>
  <c r="I18"/>
  <c r="I29"/>
  <c r="I176" s="1"/>
  <c r="E28"/>
  <c r="E23"/>
  <c r="E9"/>
  <c r="E18"/>
  <c r="E29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E42"/>
  <c r="E41"/>
  <c r="F40"/>
  <c r="D35"/>
  <c r="I34"/>
  <c r="I27"/>
  <c r="H27"/>
  <c r="G27"/>
  <c r="F27"/>
  <c r="E27"/>
  <c r="I26"/>
  <c r="H26"/>
  <c r="G26"/>
  <c r="F26"/>
  <c r="E26"/>
  <c r="D24"/>
  <c r="D21"/>
  <c r="D20"/>
  <c r="D19"/>
  <c r="D17"/>
  <c r="D16"/>
  <c r="I15"/>
  <c r="G15"/>
  <c r="F15"/>
  <c r="D14"/>
  <c r="H13"/>
  <c r="D13" s="1"/>
  <c r="D12"/>
  <c r="D11"/>
  <c r="D10"/>
  <c r="D8"/>
  <c r="D7"/>
  <c r="H6"/>
  <c r="G6"/>
  <c r="F6"/>
  <c r="E6"/>
  <c r="E24" i="12"/>
  <c r="F24"/>
  <c r="F9"/>
  <c r="F18"/>
  <c r="G24"/>
  <c r="G18"/>
  <c r="G28"/>
  <c r="G174" s="1"/>
  <c r="G29"/>
  <c r="G176" s="1"/>
  <c r="H24"/>
  <c r="H28"/>
  <c r="H174" s="1"/>
  <c r="I24"/>
  <c r="H73"/>
  <c r="H73" i="19"/>
  <c r="G73" i="12"/>
  <c r="G73" i="19"/>
  <c r="E64" i="12"/>
  <c r="E64" i="11" s="1"/>
  <c r="E64" i="29" s="1"/>
  <c r="E64" i="30" s="1"/>
  <c r="E64" i="19"/>
  <c r="E64" i="31" s="1"/>
  <c r="G52" i="27"/>
  <c r="G52" i="28" s="1"/>
  <c r="G52" i="12"/>
  <c r="G52" i="19"/>
  <c r="G52" i="31" s="1"/>
  <c r="D83" i="19"/>
  <c r="H73" i="11"/>
  <c r="H73" i="29" s="1"/>
  <c r="D83" i="12"/>
  <c r="N38" i="19"/>
  <c r="O33" s="1"/>
  <c r="O8"/>
  <c r="O17"/>
  <c r="O144"/>
  <c r="O146"/>
  <c r="O150" i="31"/>
  <c r="N12" i="19"/>
  <c r="L37"/>
  <c r="N73" i="20"/>
  <c r="M37" i="19"/>
  <c r="N8"/>
  <c r="N17"/>
  <c r="N146"/>
  <c r="N147" i="20"/>
  <c r="N147" i="32" s="1"/>
  <c r="N147" i="33" s="1"/>
  <c r="M12" i="19"/>
  <c r="M21"/>
  <c r="L36"/>
  <c r="M73" i="20"/>
  <c r="M8" i="19"/>
  <c r="M17"/>
  <c r="M20"/>
  <c r="M14"/>
  <c r="M146"/>
  <c r="M147" i="20"/>
  <c r="L12" i="19"/>
  <c r="L21"/>
  <c r="L8"/>
  <c r="L17"/>
  <c r="L10"/>
  <c r="L11"/>
  <c r="L19"/>
  <c r="L20"/>
  <c r="K8"/>
  <c r="K17"/>
  <c r="L146"/>
  <c r="K146"/>
  <c r="K147" i="20"/>
  <c r="I144" i="27"/>
  <c r="I144" i="28" s="1"/>
  <c r="D144" s="1"/>
  <c r="I144" i="12"/>
  <c r="I143" s="1"/>
  <c r="I180" s="1"/>
  <c r="I144" i="19"/>
  <c r="I146"/>
  <c r="H49"/>
  <c r="H146"/>
  <c r="G146"/>
  <c r="F146"/>
  <c r="F143" s="1"/>
  <c r="E146"/>
  <c r="L150" i="31"/>
  <c r="O24" i="19"/>
  <c r="N31"/>
  <c r="N171" s="1"/>
  <c r="N28"/>
  <c r="N174" s="1"/>
  <c r="N24"/>
  <c r="M24"/>
  <c r="M29"/>
  <c r="M176" s="1"/>
  <c r="L24"/>
  <c r="L143"/>
  <c r="K143"/>
  <c r="I143"/>
  <c r="I180" s="1"/>
  <c r="H143"/>
  <c r="H180" s="1"/>
  <c r="G143"/>
  <c r="G180" s="1"/>
  <c r="O24" i="15"/>
  <c r="O33"/>
  <c r="O173" s="1"/>
  <c r="N24"/>
  <c r="N9"/>
  <c r="N31"/>
  <c r="N171" s="1"/>
  <c r="N32"/>
  <c r="N172" s="1"/>
  <c r="N28"/>
  <c r="N174" s="1"/>
  <c r="M24"/>
  <c r="M18"/>
  <c r="M9"/>
  <c r="M31"/>
  <c r="M171" s="1"/>
  <c r="M28"/>
  <c r="M174" s="1"/>
  <c r="M29"/>
  <c r="M176" s="1"/>
  <c r="K24"/>
  <c r="L24"/>
  <c r="L9"/>
  <c r="L18"/>
  <c r="L28"/>
  <c r="O33" i="13"/>
  <c r="O173" s="1"/>
  <c r="J173" s="1"/>
  <c r="O32"/>
  <c r="O172" s="1"/>
  <c r="N31"/>
  <c r="N171" s="1"/>
  <c r="N170" s="1"/>
  <c r="N32"/>
  <c r="N172" s="1"/>
  <c r="J172" s="1"/>
  <c r="M31"/>
  <c r="M171" s="1"/>
  <c r="O33" i="12"/>
  <c r="O173" s="1"/>
  <c r="O24"/>
  <c r="O143"/>
  <c r="O180" s="1"/>
  <c r="N31"/>
  <c r="N32"/>
  <c r="N28"/>
  <c r="N174" s="1"/>
  <c r="N24"/>
  <c r="N143"/>
  <c r="N180" s="1"/>
  <c r="M31"/>
  <c r="M171" s="1"/>
  <c r="M170" s="1"/>
  <c r="M28"/>
  <c r="M174" s="1"/>
  <c r="M24"/>
  <c r="M18"/>
  <c r="M29"/>
  <c r="M176" s="1"/>
  <c r="M143"/>
  <c r="M180" s="1"/>
  <c r="L28"/>
  <c r="L24"/>
  <c r="L9"/>
  <c r="L18"/>
  <c r="K24"/>
  <c r="L143"/>
  <c r="K143"/>
  <c r="H143"/>
  <c r="H180" s="1"/>
  <c r="G143"/>
  <c r="G180" s="1"/>
  <c r="F143"/>
  <c r="E143"/>
  <c r="O24" i="10"/>
  <c r="O28"/>
  <c r="O174" s="1"/>
  <c r="O33"/>
  <c r="O173" s="1"/>
  <c r="N28"/>
  <c r="N174" s="1"/>
  <c r="N24"/>
  <c r="N9"/>
  <c r="N31"/>
  <c r="N171" s="1"/>
  <c r="N32"/>
  <c r="N172" s="1"/>
  <c r="M28"/>
  <c r="M174" s="1"/>
  <c r="M29"/>
  <c r="M176" s="1"/>
  <c r="M24"/>
  <c r="M9"/>
  <c r="M6" s="1"/>
  <c r="M31"/>
  <c r="M171" s="1"/>
  <c r="L28"/>
  <c r="L24"/>
  <c r="K24"/>
  <c r="L9"/>
  <c r="L18"/>
  <c r="O24" i="8"/>
  <c r="O33"/>
  <c r="O173" s="1"/>
  <c r="J173" s="1"/>
  <c r="N24"/>
  <c r="N9"/>
  <c r="N28"/>
  <c r="N174" s="1"/>
  <c r="N31"/>
  <c r="N171" s="1"/>
  <c r="N32"/>
  <c r="N172" s="1"/>
  <c r="M24"/>
  <c r="M18"/>
  <c r="M9"/>
  <c r="M29"/>
  <c r="M176" s="1"/>
  <c r="M28"/>
  <c r="M174" s="1"/>
  <c r="M31"/>
  <c r="M171" s="1"/>
  <c r="K24"/>
  <c r="L24"/>
  <c r="L9"/>
  <c r="L18"/>
  <c r="L28"/>
  <c r="O24" i="6"/>
  <c r="O33"/>
  <c r="O173" s="1"/>
  <c r="N24"/>
  <c r="N9"/>
  <c r="N28"/>
  <c r="N174" s="1"/>
  <c r="N31"/>
  <c r="N171" s="1"/>
  <c r="N32"/>
  <c r="M24"/>
  <c r="M18"/>
  <c r="M9"/>
  <c r="M28"/>
  <c r="M174" s="1"/>
  <c r="M29"/>
  <c r="M176" s="1"/>
  <c r="M31"/>
  <c r="M171" s="1"/>
  <c r="K24"/>
  <c r="L24"/>
  <c r="L9"/>
  <c r="L18"/>
  <c r="L28"/>
  <c r="H143" i="1"/>
  <c r="H180" s="1"/>
  <c r="F143"/>
  <c r="E143"/>
  <c r="O24" i="4"/>
  <c r="O33"/>
  <c r="O173" s="1"/>
  <c r="J173" s="1"/>
  <c r="N28"/>
  <c r="N174" s="1"/>
  <c r="N24"/>
  <c r="N9"/>
  <c r="N31"/>
  <c r="N171" s="1"/>
  <c r="N170" s="1"/>
  <c r="N32"/>
  <c r="N172" s="1"/>
  <c r="M28"/>
  <c r="M174" s="1"/>
  <c r="M29"/>
  <c r="M176" s="1"/>
  <c r="M24"/>
  <c r="M18"/>
  <c r="M9"/>
  <c r="M31"/>
  <c r="M171" s="1"/>
  <c r="L28"/>
  <c r="K24"/>
  <c r="L24"/>
  <c r="L9"/>
  <c r="L18"/>
  <c r="O24" i="3"/>
  <c r="O33"/>
  <c r="O173" s="1"/>
  <c r="J173" s="1"/>
  <c r="N28"/>
  <c r="N174" s="1"/>
  <c r="N31"/>
  <c r="N171" s="1"/>
  <c r="N170" s="1"/>
  <c r="N32"/>
  <c r="N172" s="1"/>
  <c r="N24"/>
  <c r="N9"/>
  <c r="M28"/>
  <c r="M174" s="1"/>
  <c r="M29"/>
  <c r="M176" s="1"/>
  <c r="M18"/>
  <c r="M9"/>
  <c r="M24"/>
  <c r="M31"/>
  <c r="M171" s="1"/>
  <c r="L28"/>
  <c r="L9"/>
  <c r="L18"/>
  <c r="K24"/>
  <c r="L24"/>
  <c r="O32" i="18"/>
  <c r="O172" s="1"/>
  <c r="O33"/>
  <c r="O173" s="1"/>
  <c r="O28"/>
  <c r="O174" s="1"/>
  <c r="O23"/>
  <c r="O24"/>
  <c r="O9"/>
  <c r="O18"/>
  <c r="O29"/>
  <c r="O176" s="1"/>
  <c r="N31"/>
  <c r="N171" s="1"/>
  <c r="N32"/>
  <c r="N172" s="1"/>
  <c r="N28"/>
  <c r="N174" s="1"/>
  <c r="N23"/>
  <c r="N24"/>
  <c r="N9"/>
  <c r="N18"/>
  <c r="N25" s="1"/>
  <c r="N29"/>
  <c r="N176" s="1"/>
  <c r="M31"/>
  <c r="M171" s="1"/>
  <c r="M28"/>
  <c r="M174" s="1"/>
  <c r="M23"/>
  <c r="M24"/>
  <c r="M9"/>
  <c r="M18"/>
  <c r="M29"/>
  <c r="M176" s="1"/>
  <c r="L28"/>
  <c r="J28" s="1"/>
  <c r="K28"/>
  <c r="L23"/>
  <c r="L24"/>
  <c r="L9"/>
  <c r="L18"/>
  <c r="K23"/>
  <c r="J23" s="1"/>
  <c r="K24"/>
  <c r="K9"/>
  <c r="K18"/>
  <c r="L29"/>
  <c r="K29"/>
  <c r="O34"/>
  <c r="N34"/>
  <c r="M34"/>
  <c r="L30"/>
  <c r="L34"/>
  <c r="J158"/>
  <c r="J154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N43"/>
  <c r="J43" s="1"/>
  <c r="M42"/>
  <c r="L42"/>
  <c r="K42"/>
  <c r="N41"/>
  <c r="L41"/>
  <c r="K41"/>
  <c r="N40"/>
  <c r="M40"/>
  <c r="L40"/>
  <c r="J38"/>
  <c r="J37"/>
  <c r="J36"/>
  <c r="J35"/>
  <c r="J33"/>
  <c r="J32"/>
  <c r="J31"/>
  <c r="J29"/>
  <c r="O27"/>
  <c r="N27"/>
  <c r="M27"/>
  <c r="L27"/>
  <c r="K27"/>
  <c r="O26"/>
  <c r="N26"/>
  <c r="M26"/>
  <c r="L26"/>
  <c r="K26"/>
  <c r="J24"/>
  <c r="J21"/>
  <c r="J20"/>
  <c r="J19"/>
  <c r="J17"/>
  <c r="J16"/>
  <c r="O15"/>
  <c r="N15"/>
  <c r="M15"/>
  <c r="L15"/>
  <c r="K15"/>
  <c r="J14"/>
  <c r="J13"/>
  <c r="J12"/>
  <c r="J11"/>
  <c r="J10"/>
  <c r="J8"/>
  <c r="J7"/>
  <c r="O6"/>
  <c r="N6"/>
  <c r="M6"/>
  <c r="L6"/>
  <c r="K6"/>
  <c r="O32" i="15"/>
  <c r="O172" s="1"/>
  <c r="O28"/>
  <c r="O174" s="1"/>
  <c r="O23"/>
  <c r="O9"/>
  <c r="O18"/>
  <c r="O29"/>
  <c r="O176" s="1"/>
  <c r="N23"/>
  <c r="N18"/>
  <c r="N29"/>
  <c r="N176" s="1"/>
  <c r="M23"/>
  <c r="K28"/>
  <c r="L23"/>
  <c r="K23"/>
  <c r="K9"/>
  <c r="K18"/>
  <c r="K25" s="1"/>
  <c r="L29"/>
  <c r="K29"/>
  <c r="J29" s="1"/>
  <c r="O34"/>
  <c r="N30"/>
  <c r="N34"/>
  <c r="M30"/>
  <c r="M34"/>
  <c r="L30"/>
  <c r="L34"/>
  <c r="J154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N43"/>
  <c r="J43" s="1"/>
  <c r="O42"/>
  <c r="O39" s="1"/>
  <c r="M42"/>
  <c r="L42"/>
  <c r="K42"/>
  <c r="N41"/>
  <c r="L41"/>
  <c r="K41"/>
  <c r="N40"/>
  <c r="M40"/>
  <c r="L40"/>
  <c r="J38"/>
  <c r="J37"/>
  <c r="J36"/>
  <c r="J35"/>
  <c r="J34"/>
  <c r="J33"/>
  <c r="J31"/>
  <c r="J28"/>
  <c r="O27"/>
  <c r="N27"/>
  <c r="M27"/>
  <c r="L27"/>
  <c r="K27"/>
  <c r="O26"/>
  <c r="N26"/>
  <c r="M26"/>
  <c r="L26"/>
  <c r="K26"/>
  <c r="J24"/>
  <c r="J23"/>
  <c r="J21"/>
  <c r="J20"/>
  <c r="J19"/>
  <c r="J17"/>
  <c r="J16"/>
  <c r="O15"/>
  <c r="N15"/>
  <c r="M15"/>
  <c r="L15"/>
  <c r="K15"/>
  <c r="J14"/>
  <c r="J13"/>
  <c r="J11"/>
  <c r="J10"/>
  <c r="J8"/>
  <c r="J7"/>
  <c r="O6"/>
  <c r="N6"/>
  <c r="M6"/>
  <c r="L6"/>
  <c r="K6"/>
  <c r="O30" i="13"/>
  <c r="O34"/>
  <c r="N30"/>
  <c r="N34"/>
  <c r="M30"/>
  <c r="M34"/>
  <c r="L30"/>
  <c r="J30" s="1"/>
  <c r="L34"/>
  <c r="J158"/>
  <c r="J154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N43"/>
  <c r="J43" s="1"/>
  <c r="O42"/>
  <c r="O39" s="1"/>
  <c r="M42"/>
  <c r="L42"/>
  <c r="K42"/>
  <c r="N41"/>
  <c r="L41"/>
  <c r="K41"/>
  <c r="N40"/>
  <c r="M40"/>
  <c r="L40"/>
  <c r="J38"/>
  <c r="J37"/>
  <c r="J36"/>
  <c r="J35"/>
  <c r="J34"/>
  <c r="J33"/>
  <c r="J32"/>
  <c r="J31"/>
  <c r="J29"/>
  <c r="J28"/>
  <c r="O27"/>
  <c r="N27"/>
  <c r="M27"/>
  <c r="L27"/>
  <c r="K27"/>
  <c r="O26"/>
  <c r="N26"/>
  <c r="M26"/>
  <c r="L26"/>
  <c r="K26"/>
  <c r="J24"/>
  <c r="J23"/>
  <c r="J21"/>
  <c r="J20"/>
  <c r="J19"/>
  <c r="J17"/>
  <c r="J16"/>
  <c r="O15"/>
  <c r="N15"/>
  <c r="M15"/>
  <c r="L15"/>
  <c r="K15"/>
  <c r="J14"/>
  <c r="J13"/>
  <c r="J12"/>
  <c r="J11"/>
  <c r="J10"/>
  <c r="J8"/>
  <c r="J7"/>
  <c r="O6"/>
  <c r="N6"/>
  <c r="M6"/>
  <c r="L6"/>
  <c r="K6"/>
  <c r="O32" i="10"/>
  <c r="O172" s="1"/>
  <c r="O23"/>
  <c r="O9"/>
  <c r="O25" s="1"/>
  <c r="O29"/>
  <c r="O176" s="1"/>
  <c r="N23"/>
  <c r="N29"/>
  <c r="N176" s="1"/>
  <c r="M23"/>
  <c r="K28"/>
  <c r="L23"/>
  <c r="K23"/>
  <c r="K9"/>
  <c r="K6" s="1"/>
  <c r="K18"/>
  <c r="L29"/>
  <c r="K29"/>
  <c r="O34"/>
  <c r="N34"/>
  <c r="M34"/>
  <c r="L30"/>
  <c r="L34"/>
  <c r="J158"/>
  <c r="J154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N43"/>
  <c r="J43" s="1"/>
  <c r="M42"/>
  <c r="L42"/>
  <c r="K42"/>
  <c r="L41"/>
  <c r="K41"/>
  <c r="N40"/>
  <c r="M40"/>
  <c r="L40"/>
  <c r="J38"/>
  <c r="J37"/>
  <c r="J36"/>
  <c r="J35"/>
  <c r="J33"/>
  <c r="O27"/>
  <c r="N27"/>
  <c r="M27"/>
  <c r="L27"/>
  <c r="K27"/>
  <c r="O26"/>
  <c r="N26"/>
  <c r="M26"/>
  <c r="L26"/>
  <c r="K26"/>
  <c r="J24"/>
  <c r="J21"/>
  <c r="J20"/>
  <c r="J19"/>
  <c r="J17"/>
  <c r="J16"/>
  <c r="O15"/>
  <c r="N15"/>
  <c r="M15"/>
  <c r="L15"/>
  <c r="K15"/>
  <c r="J14"/>
  <c r="J13"/>
  <c r="J12"/>
  <c r="J11"/>
  <c r="J10"/>
  <c r="J8"/>
  <c r="J7"/>
  <c r="N6"/>
  <c r="L6"/>
  <c r="O32" i="8"/>
  <c r="O172" s="1"/>
  <c r="O170" s="1"/>
  <c r="O28"/>
  <c r="O174" s="1"/>
  <c r="O23"/>
  <c r="O9"/>
  <c r="O18"/>
  <c r="O15" s="1"/>
  <c r="O29"/>
  <c r="O176" s="1"/>
  <c r="N23"/>
  <c r="N18"/>
  <c r="N29"/>
  <c r="N176" s="1"/>
  <c r="M23"/>
  <c r="K28"/>
  <c r="J28" s="1"/>
  <c r="L23"/>
  <c r="K23"/>
  <c r="J23" s="1"/>
  <c r="K9"/>
  <c r="K18"/>
  <c r="K15" s="1"/>
  <c r="L29"/>
  <c r="K29"/>
  <c r="O34"/>
  <c r="N30"/>
  <c r="N34"/>
  <c r="M30"/>
  <c r="M34"/>
  <c r="L30"/>
  <c r="L34"/>
  <c r="J158"/>
  <c r="J154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N43"/>
  <c r="J43" s="1"/>
  <c r="O42"/>
  <c r="O39" s="1"/>
  <c r="M42"/>
  <c r="L42"/>
  <c r="K42"/>
  <c r="N41"/>
  <c r="L41"/>
  <c r="K41"/>
  <c r="N40"/>
  <c r="M40"/>
  <c r="L40"/>
  <c r="J38"/>
  <c r="J37"/>
  <c r="J36"/>
  <c r="J35"/>
  <c r="J34"/>
  <c r="J33"/>
  <c r="J31"/>
  <c r="O27"/>
  <c r="N27"/>
  <c r="M27"/>
  <c r="L27"/>
  <c r="K27"/>
  <c r="O26"/>
  <c r="N26"/>
  <c r="M26"/>
  <c r="L26"/>
  <c r="K26"/>
  <c r="J24"/>
  <c r="J21"/>
  <c r="J20"/>
  <c r="J19"/>
  <c r="J17"/>
  <c r="J16"/>
  <c r="N15"/>
  <c r="M15"/>
  <c r="L15"/>
  <c r="J14"/>
  <c r="J13"/>
  <c r="J12"/>
  <c r="J11"/>
  <c r="J10"/>
  <c r="J8"/>
  <c r="J7"/>
  <c r="O6"/>
  <c r="N6"/>
  <c r="M6"/>
  <c r="L6"/>
  <c r="K6"/>
  <c r="O32" i="6"/>
  <c r="O172" s="1"/>
  <c r="O28"/>
  <c r="O174" s="1"/>
  <c r="O23"/>
  <c r="O9"/>
  <c r="O18"/>
  <c r="O29"/>
  <c r="O176" s="1"/>
  <c r="N23"/>
  <c r="N18"/>
  <c r="N29"/>
  <c r="N176" s="1"/>
  <c r="M23"/>
  <c r="K28"/>
  <c r="L23"/>
  <c r="K23"/>
  <c r="K9"/>
  <c r="K18"/>
  <c r="L29"/>
  <c r="K29"/>
  <c r="O34"/>
  <c r="N30"/>
  <c r="N34"/>
  <c r="M30"/>
  <c r="M34"/>
  <c r="L30"/>
  <c r="L34"/>
  <c r="J158"/>
  <c r="J154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49"/>
  <c r="J48"/>
  <c r="N43"/>
  <c r="J43" s="1"/>
  <c r="O42"/>
  <c r="M42"/>
  <c r="L42"/>
  <c r="K42"/>
  <c r="N41"/>
  <c r="L41"/>
  <c r="K41"/>
  <c r="N40"/>
  <c r="M40"/>
  <c r="L40"/>
  <c r="O39"/>
  <c r="J38"/>
  <c r="J37"/>
  <c r="J36"/>
  <c r="J35"/>
  <c r="J33"/>
  <c r="J32"/>
  <c r="J31"/>
  <c r="J28"/>
  <c r="O27"/>
  <c r="N27"/>
  <c r="M27"/>
  <c r="L27"/>
  <c r="K27"/>
  <c r="O26"/>
  <c r="N26"/>
  <c r="M26"/>
  <c r="L26"/>
  <c r="K26"/>
  <c r="J24"/>
  <c r="J23"/>
  <c r="J21"/>
  <c r="J20"/>
  <c r="J19"/>
  <c r="J17"/>
  <c r="J16"/>
  <c r="O15"/>
  <c r="N15"/>
  <c r="M15"/>
  <c r="L15"/>
  <c r="K15"/>
  <c r="J14"/>
  <c r="J13"/>
  <c r="J12"/>
  <c r="J11"/>
  <c r="J10"/>
  <c r="J8"/>
  <c r="J7"/>
  <c r="O6"/>
  <c r="N6"/>
  <c r="M6"/>
  <c r="L6"/>
  <c r="K6"/>
  <c r="O47" i="19"/>
  <c r="O46" s="1"/>
  <c r="N47"/>
  <c r="N71" i="20"/>
  <c r="M47" i="19"/>
  <c r="M71" i="20"/>
  <c r="L47" i="19"/>
  <c r="L59"/>
  <c r="L83" i="20"/>
  <c r="K47" i="19"/>
  <c r="K59"/>
  <c r="N34"/>
  <c r="M34"/>
  <c r="L34"/>
  <c r="N34" i="12"/>
  <c r="M34"/>
  <c r="L34"/>
  <c r="N30" i="1"/>
  <c r="N34"/>
  <c r="M30"/>
  <c r="M34"/>
  <c r="L34"/>
  <c r="N30" i="4"/>
  <c r="N34"/>
  <c r="M30"/>
  <c r="M34"/>
  <c r="L34"/>
  <c r="N30" i="3"/>
  <c r="N34"/>
  <c r="M30"/>
  <c r="M34"/>
  <c r="L34"/>
  <c r="M52" i="19"/>
  <c r="L52"/>
  <c r="I28" i="2"/>
  <c r="I174" s="1"/>
  <c r="H9"/>
  <c r="G9"/>
  <c r="G25" s="1"/>
  <c r="J158" i="12"/>
  <c r="J83"/>
  <c r="J143"/>
  <c r="J158" i="4"/>
  <c r="J158" i="3"/>
  <c r="O52" i="19"/>
  <c r="O52" i="31" s="1"/>
  <c r="N52" i="19"/>
  <c r="I52" i="27"/>
  <c r="I52" i="28" s="1"/>
  <c r="I52" i="12"/>
  <c r="I52" i="19"/>
  <c r="I52" i="31" s="1"/>
  <c r="F89" i="19"/>
  <c r="D89" s="1"/>
  <c r="D83" i="1"/>
  <c r="J83" i="4"/>
  <c r="J83" i="3"/>
  <c r="O23"/>
  <c r="O9"/>
  <c r="O18"/>
  <c r="O28"/>
  <c r="O174" s="1"/>
  <c r="O29"/>
  <c r="O176" s="1"/>
  <c r="O32"/>
  <c r="O172" s="1"/>
  <c r="O170" s="1"/>
  <c r="N23"/>
  <c r="N175" s="1"/>
  <c r="N18"/>
  <c r="N25" s="1"/>
  <c r="N29"/>
  <c r="N176" s="1"/>
  <c r="M23"/>
  <c r="L23"/>
  <c r="L29"/>
  <c r="L30"/>
  <c r="K23"/>
  <c r="K9"/>
  <c r="K6" s="1"/>
  <c r="K18"/>
  <c r="K28"/>
  <c r="K29"/>
  <c r="N43"/>
  <c r="J43" s="1"/>
  <c r="J94" i="20"/>
  <c r="D94"/>
  <c r="J93"/>
  <c r="D93"/>
  <c r="J92"/>
  <c r="D92"/>
  <c r="J91"/>
  <c r="D91"/>
  <c r="J90"/>
  <c r="D90"/>
  <c r="J88"/>
  <c r="D88"/>
  <c r="J87"/>
  <c r="D87"/>
  <c r="J86"/>
  <c r="D86"/>
  <c r="J85"/>
  <c r="D85"/>
  <c r="J84"/>
  <c r="D84"/>
  <c r="J94" i="19"/>
  <c r="D94"/>
  <c r="J93"/>
  <c r="D93"/>
  <c r="J92"/>
  <c r="D92"/>
  <c r="J91"/>
  <c r="D91"/>
  <c r="J90"/>
  <c r="D90"/>
  <c r="J89"/>
  <c r="J88"/>
  <c r="D88"/>
  <c r="J87"/>
  <c r="D87"/>
  <c r="J86"/>
  <c r="D86"/>
  <c r="J85"/>
  <c r="D85"/>
  <c r="J84"/>
  <c r="D84"/>
  <c r="J94" i="11"/>
  <c r="D94"/>
  <c r="J93"/>
  <c r="D93"/>
  <c r="J92"/>
  <c r="D92"/>
  <c r="J91"/>
  <c r="D91"/>
  <c r="J90"/>
  <c r="D90"/>
  <c r="J88"/>
  <c r="D88"/>
  <c r="J87"/>
  <c r="D87"/>
  <c r="J86"/>
  <c r="D86"/>
  <c r="J85"/>
  <c r="D85"/>
  <c r="J84"/>
  <c r="D84"/>
  <c r="J94" i="12"/>
  <c r="D94"/>
  <c r="J93"/>
  <c r="D93"/>
  <c r="J92"/>
  <c r="D92"/>
  <c r="J91"/>
  <c r="D91"/>
  <c r="J90"/>
  <c r="D90"/>
  <c r="J89"/>
  <c r="D89"/>
  <c r="J88"/>
  <c r="D88"/>
  <c r="J87"/>
  <c r="D87"/>
  <c r="J86"/>
  <c r="D86"/>
  <c r="J85"/>
  <c r="D85"/>
  <c r="J84"/>
  <c r="D84"/>
  <c r="J94" i="1"/>
  <c r="D94"/>
  <c r="J93"/>
  <c r="D93"/>
  <c r="J92"/>
  <c r="D92"/>
  <c r="J91"/>
  <c r="D91"/>
  <c r="J90"/>
  <c r="D90"/>
  <c r="J89"/>
  <c r="D89"/>
  <c r="J88"/>
  <c r="D88"/>
  <c r="J87"/>
  <c r="D87"/>
  <c r="J86"/>
  <c r="D86"/>
  <c r="J85"/>
  <c r="D85"/>
  <c r="J84"/>
  <c r="D84"/>
  <c r="J94" i="4"/>
  <c r="J93"/>
  <c r="J92"/>
  <c r="J91"/>
  <c r="J90"/>
  <c r="J89"/>
  <c r="J88"/>
  <c r="J87"/>
  <c r="J86"/>
  <c r="J85"/>
  <c r="J84"/>
  <c r="J93" i="3"/>
  <c r="J92"/>
  <c r="J91"/>
  <c r="J90"/>
  <c r="J89"/>
  <c r="J88"/>
  <c r="J87"/>
  <c r="J86"/>
  <c r="J85"/>
  <c r="J84"/>
  <c r="J82" i="20"/>
  <c r="D82"/>
  <c r="J81"/>
  <c r="D81"/>
  <c r="J80"/>
  <c r="D80"/>
  <c r="J79"/>
  <c r="D79"/>
  <c r="J78"/>
  <c r="D78"/>
  <c r="J76"/>
  <c r="D76"/>
  <c r="J75"/>
  <c r="D75"/>
  <c r="J74"/>
  <c r="D74"/>
  <c r="J73"/>
  <c r="J72"/>
  <c r="D72"/>
  <c r="J82" i="19"/>
  <c r="D82"/>
  <c r="J81"/>
  <c r="D81"/>
  <c r="J80"/>
  <c r="D80"/>
  <c r="J79"/>
  <c r="D79"/>
  <c r="J78"/>
  <c r="D78"/>
  <c r="D77"/>
  <c r="J76"/>
  <c r="D76"/>
  <c r="J75"/>
  <c r="D75"/>
  <c r="J74"/>
  <c r="D74"/>
  <c r="J73"/>
  <c r="D73"/>
  <c r="J72"/>
  <c r="D72"/>
  <c r="J71"/>
  <c r="D71"/>
  <c r="J82" i="11"/>
  <c r="D82"/>
  <c r="J81"/>
  <c r="D81"/>
  <c r="J80"/>
  <c r="D80"/>
  <c r="J79"/>
  <c r="D79"/>
  <c r="J78"/>
  <c r="D78"/>
  <c r="J76"/>
  <c r="D76"/>
  <c r="J75"/>
  <c r="D75"/>
  <c r="J74"/>
  <c r="D74"/>
  <c r="J72"/>
  <c r="D72"/>
  <c r="J82" i="12"/>
  <c r="D82"/>
  <c r="J81"/>
  <c r="D81"/>
  <c r="J80"/>
  <c r="D80"/>
  <c r="J79"/>
  <c r="D79"/>
  <c r="D78"/>
  <c r="D77"/>
  <c r="J76"/>
  <c r="D76"/>
  <c r="J75"/>
  <c r="D75"/>
  <c r="J74"/>
  <c r="D74"/>
  <c r="J73"/>
  <c r="D73"/>
  <c r="J72"/>
  <c r="D72"/>
  <c r="J71"/>
  <c r="D71"/>
  <c r="J82" i="1"/>
  <c r="D82"/>
  <c r="J81"/>
  <c r="D81"/>
  <c r="J80"/>
  <c r="D80"/>
  <c r="J79"/>
  <c r="D79"/>
  <c r="J78"/>
  <c r="D78"/>
  <c r="D77"/>
  <c r="J76"/>
  <c r="D76"/>
  <c r="J75"/>
  <c r="D75"/>
  <c r="J74"/>
  <c r="D74"/>
  <c r="J73"/>
  <c r="J72"/>
  <c r="D72"/>
  <c r="J71"/>
  <c r="D71"/>
  <c r="J82" i="4"/>
  <c r="J81"/>
  <c r="J80"/>
  <c r="J79"/>
  <c r="J78"/>
  <c r="J77"/>
  <c r="J76"/>
  <c r="J75"/>
  <c r="J74"/>
  <c r="J73"/>
  <c r="J72"/>
  <c r="J71"/>
  <c r="J82" i="3"/>
  <c r="J81"/>
  <c r="J80"/>
  <c r="J79"/>
  <c r="J78"/>
  <c r="J77"/>
  <c r="J76"/>
  <c r="J75"/>
  <c r="J74"/>
  <c r="J73"/>
  <c r="J72"/>
  <c r="J71"/>
  <c r="O34"/>
  <c r="J154"/>
  <c r="J70"/>
  <c r="H23" i="2"/>
  <c r="H18"/>
  <c r="H29"/>
  <c r="H176" s="1"/>
  <c r="F23"/>
  <c r="F29"/>
  <c r="F30"/>
  <c r="G23"/>
  <c r="G175" s="1"/>
  <c r="E23"/>
  <c r="E9"/>
  <c r="E18"/>
  <c r="E28"/>
  <c r="E29"/>
  <c r="I23"/>
  <c r="I9"/>
  <c r="I18"/>
  <c r="I29"/>
  <c r="I176" s="1"/>
  <c r="O9" i="1"/>
  <c r="O18"/>
  <c r="O29"/>
  <c r="O176" s="1"/>
  <c r="N9"/>
  <c r="N18"/>
  <c r="N29"/>
  <c r="N176" s="1"/>
  <c r="M9"/>
  <c r="M25" s="1"/>
  <c r="L29"/>
  <c r="K9"/>
  <c r="K18"/>
  <c r="K28"/>
  <c r="K29"/>
  <c r="O23" i="4"/>
  <c r="O9"/>
  <c r="O18"/>
  <c r="O28"/>
  <c r="O174" s="1"/>
  <c r="O29"/>
  <c r="O176" s="1"/>
  <c r="O32"/>
  <c r="O172" s="1"/>
  <c r="O170" s="1"/>
  <c r="O34"/>
  <c r="J34" s="1"/>
  <c r="N23"/>
  <c r="N18"/>
  <c r="N15" s="1"/>
  <c r="N29"/>
  <c r="N176" s="1"/>
  <c r="M23"/>
  <c r="L23"/>
  <c r="L29"/>
  <c r="L30"/>
  <c r="K23"/>
  <c r="K9"/>
  <c r="K18"/>
  <c r="K28"/>
  <c r="J28" s="1"/>
  <c r="K29"/>
  <c r="J154"/>
  <c r="I32" i="2"/>
  <c r="I172" s="1"/>
  <c r="I34" i="1"/>
  <c r="J70" i="4"/>
  <c r="J69"/>
  <c r="J68"/>
  <c r="J67"/>
  <c r="J66"/>
  <c r="J65"/>
  <c r="J64"/>
  <c r="J63"/>
  <c r="J62"/>
  <c r="J61"/>
  <c r="J60"/>
  <c r="J58"/>
  <c r="J57"/>
  <c r="J56"/>
  <c r="J55"/>
  <c r="J54"/>
  <c r="J52"/>
  <c r="J51"/>
  <c r="J50"/>
  <c r="J49"/>
  <c r="J48"/>
  <c r="J47"/>
  <c r="N43"/>
  <c r="J43" s="1"/>
  <c r="O42"/>
  <c r="O39" s="1"/>
  <c r="M42"/>
  <c r="L42"/>
  <c r="K42"/>
  <c r="N41"/>
  <c r="L41"/>
  <c r="K41"/>
  <c r="N40"/>
  <c r="M40"/>
  <c r="L40"/>
  <c r="J38"/>
  <c r="J37"/>
  <c r="J36"/>
  <c r="J35"/>
  <c r="J33"/>
  <c r="J32"/>
  <c r="J31"/>
  <c r="O27"/>
  <c r="N27"/>
  <c r="M27"/>
  <c r="L27"/>
  <c r="K27"/>
  <c r="O26"/>
  <c r="N26"/>
  <c r="M26"/>
  <c r="L26"/>
  <c r="K26"/>
  <c r="J24"/>
  <c r="J21"/>
  <c r="J20"/>
  <c r="J19"/>
  <c r="J17"/>
  <c r="J16"/>
  <c r="O15"/>
  <c r="M15"/>
  <c r="L15"/>
  <c r="K15"/>
  <c r="J14"/>
  <c r="J13"/>
  <c r="J12"/>
  <c r="J11"/>
  <c r="J10"/>
  <c r="J8"/>
  <c r="J7"/>
  <c r="O6"/>
  <c r="N6"/>
  <c r="M6"/>
  <c r="L6"/>
  <c r="K6"/>
  <c r="J69" i="3"/>
  <c r="J68"/>
  <c r="J67"/>
  <c r="J66"/>
  <c r="J65"/>
  <c r="J64"/>
  <c r="J63"/>
  <c r="J62"/>
  <c r="J61"/>
  <c r="J60"/>
  <c r="J58"/>
  <c r="J57"/>
  <c r="J56"/>
  <c r="J55"/>
  <c r="J54"/>
  <c r="J53"/>
  <c r="J52"/>
  <c r="J51"/>
  <c r="J50"/>
  <c r="J49"/>
  <c r="J48"/>
  <c r="J47"/>
  <c r="O42"/>
  <c r="M42"/>
  <c r="L42"/>
  <c r="K42"/>
  <c r="N41"/>
  <c r="L41"/>
  <c r="K41"/>
  <c r="N40"/>
  <c r="M40"/>
  <c r="L40"/>
  <c r="O39"/>
  <c r="J38"/>
  <c r="J37"/>
  <c r="J36"/>
  <c r="J35"/>
  <c r="J33"/>
  <c r="J32"/>
  <c r="J31"/>
  <c r="J28"/>
  <c r="O27"/>
  <c r="N27"/>
  <c r="M27"/>
  <c r="L27"/>
  <c r="K27"/>
  <c r="O26"/>
  <c r="N26"/>
  <c r="M26"/>
  <c r="L26"/>
  <c r="K26"/>
  <c r="J24"/>
  <c r="J23"/>
  <c r="J21"/>
  <c r="J20"/>
  <c r="J19"/>
  <c r="J17"/>
  <c r="J16"/>
  <c r="N15"/>
  <c r="M15"/>
  <c r="L15"/>
  <c r="K15"/>
  <c r="J14"/>
  <c r="J13"/>
  <c r="J12"/>
  <c r="J11"/>
  <c r="J10"/>
  <c r="J8"/>
  <c r="J7"/>
  <c r="O6"/>
  <c r="N6"/>
  <c r="M6"/>
  <c r="L6"/>
  <c r="I34" i="2"/>
  <c r="E42"/>
  <c r="E41"/>
  <c r="F40"/>
  <c r="D35"/>
  <c r="I27"/>
  <c r="H27"/>
  <c r="G27"/>
  <c r="F27"/>
  <c r="E27"/>
  <c r="I26"/>
  <c r="H26"/>
  <c r="G26"/>
  <c r="F26"/>
  <c r="E26"/>
  <c r="D21"/>
  <c r="D20"/>
  <c r="D19"/>
  <c r="D17"/>
  <c r="D16"/>
  <c r="H15"/>
  <c r="G15"/>
  <c r="F15"/>
  <c r="D14"/>
  <c r="D13"/>
  <c r="D12"/>
  <c r="D11"/>
  <c r="D10"/>
  <c r="D8"/>
  <c r="D7"/>
  <c r="I6"/>
  <c r="H6"/>
  <c r="G6"/>
  <c r="F6"/>
  <c r="E6"/>
  <c r="O158" i="19"/>
  <c r="N158"/>
  <c r="M158"/>
  <c r="L158"/>
  <c r="L154"/>
  <c r="L154" i="20" s="1"/>
  <c r="L154" i="32" s="1"/>
  <c r="L65" i="19"/>
  <c r="K65"/>
  <c r="N57"/>
  <c r="E65"/>
  <c r="H57"/>
  <c r="G53"/>
  <c r="H53"/>
  <c r="H52" i="27"/>
  <c r="H52" i="28" s="1"/>
  <c r="H52" i="12"/>
  <c r="D52" s="1"/>
  <c r="H52" i="19"/>
  <c r="H52" i="31" s="1"/>
  <c r="K158" i="19"/>
  <c r="I23" i="12"/>
  <c r="I9"/>
  <c r="I18"/>
  <c r="I28"/>
  <c r="I174" s="1"/>
  <c r="I29"/>
  <c r="I176" s="1"/>
  <c r="H23"/>
  <c r="H9"/>
  <c r="H18"/>
  <c r="H29"/>
  <c r="H176" s="1"/>
  <c r="G23"/>
  <c r="G9"/>
  <c r="G25" s="1"/>
  <c r="F23"/>
  <c r="F29"/>
  <c r="E23"/>
  <c r="D23" s="1"/>
  <c r="E9"/>
  <c r="E18"/>
  <c r="E28"/>
  <c r="E29"/>
  <c r="D144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1"/>
  <c r="D50"/>
  <c r="D49"/>
  <c r="D48"/>
  <c r="E42"/>
  <c r="E41"/>
  <c r="F40"/>
  <c r="D35"/>
  <c r="I27"/>
  <c r="H27"/>
  <c r="G27"/>
  <c r="F27"/>
  <c r="E27"/>
  <c r="I26"/>
  <c r="H26"/>
  <c r="G26"/>
  <c r="F26"/>
  <c r="E26"/>
  <c r="D24"/>
  <c r="D21"/>
  <c r="D20"/>
  <c r="D19"/>
  <c r="D17"/>
  <c r="D16"/>
  <c r="I15"/>
  <c r="H15"/>
  <c r="G15"/>
  <c r="F15"/>
  <c r="E15"/>
  <c r="D14"/>
  <c r="D13"/>
  <c r="D12"/>
  <c r="D11"/>
  <c r="D10"/>
  <c r="D8"/>
  <c r="D7"/>
  <c r="I6"/>
  <c r="H6"/>
  <c r="G6"/>
  <c r="F6"/>
  <c r="E6"/>
  <c r="I18" i="11"/>
  <c r="H18"/>
  <c r="E18"/>
  <c r="D35"/>
  <c r="I34"/>
  <c r="I32"/>
  <c r="I172" s="1"/>
  <c r="F30"/>
  <c r="I29"/>
  <c r="I176" s="1"/>
  <c r="H29"/>
  <c r="H176" s="1"/>
  <c r="F29"/>
  <c r="E29"/>
  <c r="I28"/>
  <c r="I174" s="1"/>
  <c r="E28"/>
  <c r="I27"/>
  <c r="H27"/>
  <c r="E27"/>
  <c r="I26"/>
  <c r="H26"/>
  <c r="G26"/>
  <c r="E26"/>
  <c r="I23"/>
  <c r="H23"/>
  <c r="G23"/>
  <c r="F23"/>
  <c r="E23"/>
  <c r="D23" s="1"/>
  <c r="D16"/>
  <c r="I9"/>
  <c r="I25" s="1"/>
  <c r="H9"/>
  <c r="H25" s="1"/>
  <c r="G9"/>
  <c r="E9"/>
  <c r="E25" s="1"/>
  <c r="D7"/>
  <c r="D58"/>
  <c r="J58" i="12"/>
  <c r="I23" i="1"/>
  <c r="I9"/>
  <c r="I25" s="1"/>
  <c r="I28"/>
  <c r="I174" s="1"/>
  <c r="I29"/>
  <c r="I176" s="1"/>
  <c r="H23"/>
  <c r="H9"/>
  <c r="H25" s="1"/>
  <c r="H29"/>
  <c r="H176" s="1"/>
  <c r="G9"/>
  <c r="G23"/>
  <c r="F23"/>
  <c r="F29"/>
  <c r="E23"/>
  <c r="E9"/>
  <c r="E25" s="1"/>
  <c r="E28"/>
  <c r="E29"/>
  <c r="D7" i="20"/>
  <c r="J7"/>
  <c r="E9"/>
  <c r="G9"/>
  <c r="H9"/>
  <c r="I9"/>
  <c r="K9"/>
  <c r="M9"/>
  <c r="N9"/>
  <c r="O9"/>
  <c r="J16"/>
  <c r="D16"/>
  <c r="E18"/>
  <c r="H18"/>
  <c r="I18"/>
  <c r="K18"/>
  <c r="N18"/>
  <c r="O18"/>
  <c r="E23"/>
  <c r="F23"/>
  <c r="G23"/>
  <c r="H23"/>
  <c r="I23"/>
  <c r="K23"/>
  <c r="L23"/>
  <c r="M23"/>
  <c r="N23"/>
  <c r="O23"/>
  <c r="H25"/>
  <c r="K25"/>
  <c r="N25"/>
  <c r="O25"/>
  <c r="E26"/>
  <c r="G26"/>
  <c r="H26"/>
  <c r="I26"/>
  <c r="K26"/>
  <c r="M26"/>
  <c r="N26"/>
  <c r="O26"/>
  <c r="E27"/>
  <c r="H27"/>
  <c r="I27"/>
  <c r="K27"/>
  <c r="N27"/>
  <c r="O27"/>
  <c r="E28"/>
  <c r="I28"/>
  <c r="I174" s="1"/>
  <c r="K28"/>
  <c r="O28"/>
  <c r="O174" s="1"/>
  <c r="E29"/>
  <c r="F29"/>
  <c r="H29"/>
  <c r="H176" s="1"/>
  <c r="I29"/>
  <c r="I176" s="1"/>
  <c r="K29"/>
  <c r="L29"/>
  <c r="N29"/>
  <c r="N176" s="1"/>
  <c r="O29"/>
  <c r="O176" s="1"/>
  <c r="F30"/>
  <c r="L30"/>
  <c r="O32"/>
  <c r="O172" s="1"/>
  <c r="I34"/>
  <c r="O34"/>
  <c r="D35"/>
  <c r="J35"/>
  <c r="F40"/>
  <c r="L40"/>
  <c r="E41"/>
  <c r="K41"/>
  <c r="E42"/>
  <c r="K42"/>
  <c r="D51"/>
  <c r="J51"/>
  <c r="D54"/>
  <c r="J54"/>
  <c r="D55"/>
  <c r="J55"/>
  <c r="D56"/>
  <c r="J56"/>
  <c r="D60"/>
  <c r="M60"/>
  <c r="N60"/>
  <c r="O60"/>
  <c r="D61"/>
  <c r="J61"/>
  <c r="D62"/>
  <c r="J62"/>
  <c r="D63"/>
  <c r="J63"/>
  <c r="D66"/>
  <c r="J66"/>
  <c r="D67"/>
  <c r="J67"/>
  <c r="D68"/>
  <c r="J68"/>
  <c r="D69"/>
  <c r="J69"/>
  <c r="D70"/>
  <c r="J70"/>
  <c r="D8" i="19"/>
  <c r="D10"/>
  <c r="D11"/>
  <c r="D12"/>
  <c r="D14"/>
  <c r="J8"/>
  <c r="J10"/>
  <c r="J11"/>
  <c r="J12"/>
  <c r="J14"/>
  <c r="D7"/>
  <c r="J7"/>
  <c r="E9"/>
  <c r="E6" s="1"/>
  <c r="G9"/>
  <c r="H9"/>
  <c r="H6" s="1"/>
  <c r="I9"/>
  <c r="I6" s="1"/>
  <c r="K9"/>
  <c r="K6" s="1"/>
  <c r="M9"/>
  <c r="N9"/>
  <c r="N6" s="1"/>
  <c r="O9"/>
  <c r="O6" s="1"/>
  <c r="D13"/>
  <c r="J13"/>
  <c r="D17"/>
  <c r="D19"/>
  <c r="D20"/>
  <c r="D21"/>
  <c r="J17"/>
  <c r="J19"/>
  <c r="J20"/>
  <c r="J21"/>
  <c r="J16"/>
  <c r="D16"/>
  <c r="E18"/>
  <c r="E15" s="1"/>
  <c r="H18"/>
  <c r="H15" s="1"/>
  <c r="I18"/>
  <c r="I15" s="1"/>
  <c r="K18"/>
  <c r="K15" s="1"/>
  <c r="N18"/>
  <c r="N15" s="1"/>
  <c r="O18"/>
  <c r="O15" s="1"/>
  <c r="E23"/>
  <c r="F23"/>
  <c r="G23"/>
  <c r="H23"/>
  <c r="I23"/>
  <c r="K23"/>
  <c r="L23"/>
  <c r="M23"/>
  <c r="N23"/>
  <c r="O23"/>
  <c r="H25"/>
  <c r="K25"/>
  <c r="N25"/>
  <c r="O25"/>
  <c r="F26"/>
  <c r="E26"/>
  <c r="G26"/>
  <c r="H26"/>
  <c r="I26"/>
  <c r="K26"/>
  <c r="M26"/>
  <c r="N26"/>
  <c r="O26"/>
  <c r="F27"/>
  <c r="G27"/>
  <c r="E27"/>
  <c r="H27"/>
  <c r="I27"/>
  <c r="L27"/>
  <c r="M27"/>
  <c r="K27"/>
  <c r="N27"/>
  <c r="O27"/>
  <c r="E28"/>
  <c r="I28"/>
  <c r="I174" s="1"/>
  <c r="K28"/>
  <c r="O28"/>
  <c r="O174" s="1"/>
  <c r="E29"/>
  <c r="F29"/>
  <c r="H29"/>
  <c r="H176" s="1"/>
  <c r="I29"/>
  <c r="I176" s="1"/>
  <c r="K29"/>
  <c r="L29"/>
  <c r="N29"/>
  <c r="N176" s="1"/>
  <c r="O29"/>
  <c r="O176" s="1"/>
  <c r="F30"/>
  <c r="L30"/>
  <c r="O32"/>
  <c r="O172" s="1"/>
  <c r="I34"/>
  <c r="O34"/>
  <c r="J34" s="1"/>
  <c r="D35"/>
  <c r="J35"/>
  <c r="J36"/>
  <c r="J37"/>
  <c r="J38"/>
  <c r="L41"/>
  <c r="L42"/>
  <c r="M42"/>
  <c r="N40"/>
  <c r="N43"/>
  <c r="J43" s="1"/>
  <c r="F40"/>
  <c r="L40"/>
  <c r="E41"/>
  <c r="K41"/>
  <c r="E42"/>
  <c r="K42"/>
  <c r="J47"/>
  <c r="D48"/>
  <c r="J48"/>
  <c r="D49"/>
  <c r="J49"/>
  <c r="D50"/>
  <c r="J50"/>
  <c r="D51"/>
  <c r="J51"/>
  <c r="D52"/>
  <c r="J52"/>
  <c r="D53"/>
  <c r="D54"/>
  <c r="J54"/>
  <c r="D55"/>
  <c r="J55"/>
  <c r="D56"/>
  <c r="J56"/>
  <c r="D57"/>
  <c r="J57"/>
  <c r="D58"/>
  <c r="D59"/>
  <c r="J59"/>
  <c r="D60"/>
  <c r="M60"/>
  <c r="N60"/>
  <c r="O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144"/>
  <c r="J144"/>
  <c r="D146"/>
  <c r="J146"/>
  <c r="D147"/>
  <c r="J147"/>
  <c r="J154"/>
  <c r="J158"/>
  <c r="J8" i="12"/>
  <c r="J10"/>
  <c r="J11"/>
  <c r="J12"/>
  <c r="J14"/>
  <c r="L6"/>
  <c r="J7"/>
  <c r="K9"/>
  <c r="K6" s="1"/>
  <c r="M9"/>
  <c r="M25" s="1"/>
  <c r="N9"/>
  <c r="N6" s="1"/>
  <c r="O9"/>
  <c r="O6" s="1"/>
  <c r="J13"/>
  <c r="J17"/>
  <c r="J19"/>
  <c r="J20"/>
  <c r="J21"/>
  <c r="J16"/>
  <c r="L15"/>
  <c r="M15"/>
  <c r="K18"/>
  <c r="K15" s="1"/>
  <c r="N18"/>
  <c r="N15" s="1"/>
  <c r="O18"/>
  <c r="O15" s="1"/>
  <c r="K23"/>
  <c r="L23"/>
  <c r="M23"/>
  <c r="N23"/>
  <c r="O23"/>
  <c r="J24"/>
  <c r="L26"/>
  <c r="K26"/>
  <c r="M26"/>
  <c r="N26"/>
  <c r="O26"/>
  <c r="L27"/>
  <c r="M27"/>
  <c r="K27"/>
  <c r="N27"/>
  <c r="O27"/>
  <c r="K28"/>
  <c r="O28"/>
  <c r="O174" s="1"/>
  <c r="K29"/>
  <c r="L29"/>
  <c r="N29"/>
  <c r="N176" s="1"/>
  <c r="O29"/>
  <c r="O176" s="1"/>
  <c r="L30"/>
  <c r="J31"/>
  <c r="O32"/>
  <c r="O172" s="1"/>
  <c r="J33"/>
  <c r="O34"/>
  <c r="J35"/>
  <c r="J36"/>
  <c r="J37"/>
  <c r="J38"/>
  <c r="L41"/>
  <c r="L42"/>
  <c r="M40"/>
  <c r="M42"/>
  <c r="N40"/>
  <c r="N41"/>
  <c r="N43"/>
  <c r="J43" s="1"/>
  <c r="O42"/>
  <c r="O39" s="1"/>
  <c r="L40"/>
  <c r="J40" s="1"/>
  <c r="K41"/>
  <c r="K42"/>
  <c r="J49"/>
  <c r="J51"/>
  <c r="J52"/>
  <c r="J53"/>
  <c r="J54"/>
  <c r="J55"/>
  <c r="J56"/>
  <c r="J57"/>
  <c r="J59"/>
  <c r="M60"/>
  <c r="N60"/>
  <c r="O60"/>
  <c r="J61"/>
  <c r="J62"/>
  <c r="J63"/>
  <c r="J64"/>
  <c r="J65"/>
  <c r="J66"/>
  <c r="J67"/>
  <c r="J68"/>
  <c r="J69"/>
  <c r="J70"/>
  <c r="J144"/>
  <c r="J146"/>
  <c r="J147"/>
  <c r="J154"/>
  <c r="J7" i="11"/>
  <c r="K9"/>
  <c r="M9"/>
  <c r="N9"/>
  <c r="O9"/>
  <c r="J16"/>
  <c r="K18"/>
  <c r="N18"/>
  <c r="O18"/>
  <c r="K23"/>
  <c r="L23"/>
  <c r="M23"/>
  <c r="N23"/>
  <c r="O23"/>
  <c r="M26"/>
  <c r="K26"/>
  <c r="N26"/>
  <c r="O26"/>
  <c r="K27"/>
  <c r="N27"/>
  <c r="O27"/>
  <c r="K28"/>
  <c r="O28"/>
  <c r="O174" s="1"/>
  <c r="K29"/>
  <c r="L29"/>
  <c r="L176" s="1"/>
  <c r="N29"/>
  <c r="N176" s="1"/>
  <c r="O29"/>
  <c r="O176" s="1"/>
  <c r="L30"/>
  <c r="O32"/>
  <c r="O172" s="1"/>
  <c r="O34"/>
  <c r="J35"/>
  <c r="F40"/>
  <c r="L40"/>
  <c r="E41"/>
  <c r="K41"/>
  <c r="E42"/>
  <c r="K42"/>
  <c r="D48"/>
  <c r="J48"/>
  <c r="D51"/>
  <c r="J51"/>
  <c r="D54"/>
  <c r="J54"/>
  <c r="D55"/>
  <c r="J55"/>
  <c r="D56"/>
  <c r="J56"/>
  <c r="I60"/>
  <c r="D60" s="1"/>
  <c r="J60"/>
  <c r="D61"/>
  <c r="J61"/>
  <c r="D62"/>
  <c r="J62"/>
  <c r="D63"/>
  <c r="J63"/>
  <c r="D66"/>
  <c r="J66"/>
  <c r="D67"/>
  <c r="J67"/>
  <c r="D68"/>
  <c r="J68"/>
  <c r="D69"/>
  <c r="J69"/>
  <c r="D70"/>
  <c r="J70"/>
  <c r="J70" i="1"/>
  <c r="D70"/>
  <c r="J69"/>
  <c r="D69"/>
  <c r="J68"/>
  <c r="D68"/>
  <c r="J67"/>
  <c r="D67"/>
  <c r="J66"/>
  <c r="D66"/>
  <c r="J65"/>
  <c r="D65"/>
  <c r="J64"/>
  <c r="D64"/>
  <c r="J63"/>
  <c r="D63"/>
  <c r="J62"/>
  <c r="D62"/>
  <c r="J61"/>
  <c r="D61"/>
  <c r="J60"/>
  <c r="D60"/>
  <c r="D59"/>
  <c r="D7"/>
  <c r="D8"/>
  <c r="D10"/>
  <c r="D11"/>
  <c r="D12"/>
  <c r="D14"/>
  <c r="E6"/>
  <c r="F6"/>
  <c r="G6"/>
  <c r="J7"/>
  <c r="J8"/>
  <c r="J11"/>
  <c r="J12"/>
  <c r="J14"/>
  <c r="K6"/>
  <c r="L6"/>
  <c r="M6"/>
  <c r="N6"/>
  <c r="O6"/>
  <c r="D13"/>
  <c r="D16"/>
  <c r="D17"/>
  <c r="D19"/>
  <c r="D20"/>
  <c r="D21"/>
  <c r="E15"/>
  <c r="F15"/>
  <c r="H15"/>
  <c r="I15"/>
  <c r="J16"/>
  <c r="J17"/>
  <c r="J19"/>
  <c r="J20"/>
  <c r="J21"/>
  <c r="K15"/>
  <c r="L15"/>
  <c r="M15"/>
  <c r="N15"/>
  <c r="O15"/>
  <c r="D23"/>
  <c r="E26"/>
  <c r="F26"/>
  <c r="G26"/>
  <c r="H26"/>
  <c r="I26"/>
  <c r="K26"/>
  <c r="M26"/>
  <c r="N26"/>
  <c r="O26"/>
  <c r="E27"/>
  <c r="F27"/>
  <c r="G27"/>
  <c r="H27"/>
  <c r="I27"/>
  <c r="K27"/>
  <c r="M27"/>
  <c r="N27"/>
  <c r="O27"/>
  <c r="L30"/>
  <c r="O32"/>
  <c r="O172" s="1"/>
  <c r="J33"/>
  <c r="O34"/>
  <c r="J34" s="1"/>
  <c r="D35"/>
  <c r="J35"/>
  <c r="J38"/>
  <c r="F40"/>
  <c r="L40"/>
  <c r="N43"/>
  <c r="J43" s="1"/>
  <c r="O42"/>
  <c r="O39" s="1"/>
  <c r="E41"/>
  <c r="K41"/>
  <c r="E42"/>
  <c r="K42"/>
  <c r="D58"/>
  <c r="D144"/>
  <c r="D147"/>
  <c r="D146" i="12"/>
  <c r="J31" i="1"/>
  <c r="J36"/>
  <c r="J37"/>
  <c r="M42"/>
  <c r="M40"/>
  <c r="N41"/>
  <c r="N40"/>
  <c r="L41"/>
  <c r="L42"/>
  <c r="J158"/>
  <c r="K59" i="26"/>
  <c r="J59" i="3"/>
  <c r="L176" i="1" l="1"/>
  <c r="J171" i="3"/>
  <c r="M170"/>
  <c r="J172"/>
  <c r="J171" i="4"/>
  <c r="M170"/>
  <c r="J172"/>
  <c r="L174" i="6"/>
  <c r="L174" i="8"/>
  <c r="N170"/>
  <c r="O170" i="13"/>
  <c r="L174" i="15"/>
  <c r="J174" s="1"/>
  <c r="N175" i="19"/>
  <c r="G150" i="31"/>
  <c r="M150"/>
  <c r="F176" i="4"/>
  <c r="D176" s="1"/>
  <c r="F176" i="6"/>
  <c r="D176" s="1"/>
  <c r="H175" i="1"/>
  <c r="F174"/>
  <c r="L174"/>
  <c r="N25" i="28"/>
  <c r="J174" i="13"/>
  <c r="E46" i="12"/>
  <c r="F46" i="1"/>
  <c r="F174" i="4"/>
  <c r="F174" i="6"/>
  <c r="F174" i="8"/>
  <c r="F174" i="13"/>
  <c r="F174" i="15"/>
  <c r="K25" i="11"/>
  <c r="L176" i="19"/>
  <c r="J176" s="1"/>
  <c r="F176"/>
  <c r="D176" s="1"/>
  <c r="L176" i="20"/>
  <c r="F176"/>
  <c r="F176" i="1"/>
  <c r="F176" i="11"/>
  <c r="F176" i="12"/>
  <c r="J154" i="32"/>
  <c r="L154" i="33"/>
  <c r="J154" s="1"/>
  <c r="J23" i="4"/>
  <c r="K25"/>
  <c r="L176"/>
  <c r="J176" s="1"/>
  <c r="O25"/>
  <c r="O175" s="1"/>
  <c r="O169" s="1"/>
  <c r="O177" s="1"/>
  <c r="O178" s="1"/>
  <c r="F176" i="2"/>
  <c r="D176" s="1"/>
  <c r="L176" i="3"/>
  <c r="J176" s="1"/>
  <c r="O30" i="6"/>
  <c r="L176"/>
  <c r="J176" s="1"/>
  <c r="J32" i="8"/>
  <c r="L176"/>
  <c r="J176" s="1"/>
  <c r="L176" i="10"/>
  <c r="J176" s="1"/>
  <c r="J32" i="15"/>
  <c r="L176"/>
  <c r="J176" s="1"/>
  <c r="J34" i="18"/>
  <c r="J172"/>
  <c r="L174" i="3"/>
  <c r="N169"/>
  <c r="L174" i="4"/>
  <c r="J171" i="8"/>
  <c r="M170"/>
  <c r="J172"/>
  <c r="M170" i="13"/>
  <c r="J171"/>
  <c r="O175" i="19"/>
  <c r="F150" i="31"/>
  <c r="H150"/>
  <c r="G175" i="3"/>
  <c r="F176"/>
  <c r="D176" s="1"/>
  <c r="D29" i="8"/>
  <c r="F176"/>
  <c r="D176" s="1"/>
  <c r="D29" i="10"/>
  <c r="D28" i="15"/>
  <c r="D29"/>
  <c r="F176"/>
  <c r="D176" s="1"/>
  <c r="H175"/>
  <c r="I175" i="1"/>
  <c r="L176" i="26"/>
  <c r="F176"/>
  <c r="D176" s="1"/>
  <c r="K46"/>
  <c r="F46"/>
  <c r="D46" s="1"/>
  <c r="G46"/>
  <c r="H46"/>
  <c r="J176" i="1"/>
  <c r="J172"/>
  <c r="L176" i="27"/>
  <c r="F176"/>
  <c r="I25"/>
  <c r="L176" i="29"/>
  <c r="F176"/>
  <c r="F176" i="13"/>
  <c r="D176" s="1"/>
  <c r="O175"/>
  <c r="J176"/>
  <c r="L176" i="30"/>
  <c r="F176"/>
  <c r="D46" i="1"/>
  <c r="E46" i="27"/>
  <c r="F46" i="12"/>
  <c r="F174" i="3"/>
  <c r="F174" i="2"/>
  <c r="G46" i="12"/>
  <c r="H46"/>
  <c r="L176" i="18"/>
  <c r="J176" s="1"/>
  <c r="L174"/>
  <c r="N170"/>
  <c r="F174"/>
  <c r="M170"/>
  <c r="J171"/>
  <c r="N175"/>
  <c r="F176"/>
  <c r="D176" s="1"/>
  <c r="H175"/>
  <c r="K46" i="19"/>
  <c r="H46"/>
  <c r="J173" i="18"/>
  <c r="O170"/>
  <c r="O42"/>
  <c r="O39" s="1"/>
  <c r="D46" i="19"/>
  <c r="L25" i="18"/>
  <c r="L22" s="1"/>
  <c r="L44" s="1"/>
  <c r="J172" i="15"/>
  <c r="J173"/>
  <c r="O170"/>
  <c r="N170"/>
  <c r="M170"/>
  <c r="J171"/>
  <c r="J53" i="19"/>
  <c r="L18"/>
  <c r="L15" s="1"/>
  <c r="M25" i="15"/>
  <c r="M175"/>
  <c r="L26" i="19"/>
  <c r="J26" s="1"/>
  <c r="O173"/>
  <c r="J173" s="1"/>
  <c r="O42"/>
  <c r="O39" s="1"/>
  <c r="J33"/>
  <c r="L46"/>
  <c r="N71" i="31"/>
  <c r="N46" i="19"/>
  <c r="M71" i="31"/>
  <c r="M46" i="19"/>
  <c r="F180" i="1"/>
  <c r="J171" i="26"/>
  <c r="M170"/>
  <c r="J171" i="1"/>
  <c r="M170"/>
  <c r="L180" i="19"/>
  <c r="J173" i="26"/>
  <c r="O170"/>
  <c r="J173" i="1"/>
  <c r="O170"/>
  <c r="F180" i="26"/>
  <c r="L176" i="12"/>
  <c r="J176" s="1"/>
  <c r="D29"/>
  <c r="L174"/>
  <c r="J174" s="1"/>
  <c r="D176"/>
  <c r="F174"/>
  <c r="J23" i="10"/>
  <c r="J28"/>
  <c r="L174"/>
  <c r="O175"/>
  <c r="M30"/>
  <c r="O42"/>
  <c r="O39" s="1"/>
  <c r="O30"/>
  <c r="J173"/>
  <c r="O170"/>
  <c r="O169" s="1"/>
  <c r="J172"/>
  <c r="N170"/>
  <c r="M170"/>
  <c r="J171"/>
  <c r="J31"/>
  <c r="N30"/>
  <c r="N30" i="12"/>
  <c r="F176" i="10"/>
  <c r="D176" s="1"/>
  <c r="J34" i="12"/>
  <c r="M30"/>
  <c r="O6" i="10"/>
  <c r="J32"/>
  <c r="N41"/>
  <c r="F174"/>
  <c r="D174" i="12"/>
  <c r="F180"/>
  <c r="L180"/>
  <c r="G175"/>
  <c r="O59" i="30"/>
  <c r="M175" i="12"/>
  <c r="M169" s="1"/>
  <c r="J180"/>
  <c r="D180"/>
  <c r="J173" i="6"/>
  <c r="O170"/>
  <c r="J173" i="12"/>
  <c r="O170"/>
  <c r="N171" i="27"/>
  <c r="N171" i="12"/>
  <c r="J171" i="6"/>
  <c r="M170"/>
  <c r="J171" i="12"/>
  <c r="H73" i="31"/>
  <c r="K64"/>
  <c r="F59" i="27"/>
  <c r="F59" i="28" s="1"/>
  <c r="H71" i="27"/>
  <c r="H71" i="28" s="1"/>
  <c r="L59" i="27"/>
  <c r="N71"/>
  <c r="N71" i="28" s="1"/>
  <c r="L27" i="1"/>
  <c r="L26"/>
  <c r="J10"/>
  <c r="O25" i="12"/>
  <c r="O175" s="1"/>
  <c r="O25" i="1"/>
  <c r="O30" i="8"/>
  <c r="J30" s="1"/>
  <c r="O30" i="15"/>
  <c r="J30" s="1"/>
  <c r="J40" i="18"/>
  <c r="N39"/>
  <c r="J42"/>
  <c r="E25" i="6"/>
  <c r="D23"/>
  <c r="K25" i="29"/>
  <c r="K25" i="13"/>
  <c r="K25" i="30"/>
  <c r="H25"/>
  <c r="F52" i="31"/>
  <c r="J29" i="1"/>
  <c r="J38" i="26"/>
  <c r="J29" i="4"/>
  <c r="K153" i="2"/>
  <c r="K160"/>
  <c r="O25" i="11"/>
  <c r="E25" i="15"/>
  <c r="K25" i="28"/>
  <c r="L39" i="4"/>
  <c r="K25" i="1"/>
  <c r="J27" i="8"/>
  <c r="O25"/>
  <c r="O22" s="1"/>
  <c r="J29" i="10"/>
  <c r="M39"/>
  <c r="K25"/>
  <c r="J40" i="15"/>
  <c r="N39"/>
  <c r="J42"/>
  <c r="J26" i="18"/>
  <c r="L39"/>
  <c r="M30"/>
  <c r="N22"/>
  <c r="O30"/>
  <c r="N28" i="1"/>
  <c r="N174" s="1"/>
  <c r="J174" s="1"/>
  <c r="D49" i="26"/>
  <c r="H73" i="27"/>
  <c r="J49" i="26"/>
  <c r="O25" i="30"/>
  <c r="O25" i="28"/>
  <c r="O25" i="26"/>
  <c r="J9" i="18"/>
  <c r="J6" s="1"/>
  <c r="J27"/>
  <c r="M39"/>
  <c r="J41"/>
  <c r="J39"/>
  <c r="J9" i="15"/>
  <c r="J32" i="12"/>
  <c r="J28"/>
  <c r="K25"/>
  <c r="H25"/>
  <c r="H175" s="1"/>
  <c r="O22" i="10"/>
  <c r="E25"/>
  <c r="J42" i="12"/>
  <c r="J26" i="8"/>
  <c r="E25"/>
  <c r="D143" i="12"/>
  <c r="N39" i="6"/>
  <c r="K25"/>
  <c r="K22" s="1"/>
  <c r="K44" s="1"/>
  <c r="E15"/>
  <c r="D28"/>
  <c r="J32" i="1"/>
  <c r="D26"/>
  <c r="I6"/>
  <c r="M39" i="4"/>
  <c r="J41"/>
  <c r="E25"/>
  <c r="D29" i="3"/>
  <c r="J83" i="1"/>
  <c r="J18" i="18"/>
  <c r="J41" i="15"/>
  <c r="I25"/>
  <c r="I175" s="1"/>
  <c r="K22"/>
  <c r="K44" s="1"/>
  <c r="I25" i="10"/>
  <c r="I175" s="1"/>
  <c r="L39" i="8"/>
  <c r="I25"/>
  <c r="I175" s="1"/>
  <c r="I25" i="6"/>
  <c r="I175" s="1"/>
  <c r="J29"/>
  <c r="J40" i="4"/>
  <c r="I25"/>
  <c r="I175" s="1"/>
  <c r="E25" i="13"/>
  <c r="I25"/>
  <c r="I175" s="1"/>
  <c r="D89" i="27"/>
  <c r="D26" i="18"/>
  <c r="D26" i="12"/>
  <c r="D58" i="26"/>
  <c r="I25" i="2"/>
  <c r="I175" s="1"/>
  <c r="M34" i="26"/>
  <c r="D18" i="15"/>
  <c r="K151" i="6"/>
  <c r="D144" i="27"/>
  <c r="O143" i="19"/>
  <c r="O180" s="1"/>
  <c r="J42"/>
  <c r="J64" i="31"/>
  <c r="J9" i="13"/>
  <c r="J26"/>
  <c r="M25" i="10"/>
  <c r="M22" s="1"/>
  <c r="L39" i="6"/>
  <c r="M39"/>
  <c r="K25" i="27"/>
  <c r="H25"/>
  <c r="O144" i="20"/>
  <c r="O143" i="1"/>
  <c r="O180" s="1"/>
  <c r="N39" i="4"/>
  <c r="H6" i="1"/>
  <c r="N43" i="27"/>
  <c r="J43" s="1"/>
  <c r="E15"/>
  <c r="I25" i="26"/>
  <c r="N25"/>
  <c r="M143"/>
  <c r="M180" s="1"/>
  <c r="K22" i="10"/>
  <c r="K44" s="1"/>
  <c r="G22" i="4"/>
  <c r="G22" i="8"/>
  <c r="N150" i="11"/>
  <c r="N150" i="29" s="1"/>
  <c r="N150" i="30" s="1"/>
  <c r="J60" i="12"/>
  <c r="J41"/>
  <c r="J60" i="19"/>
  <c r="J18" i="3"/>
  <c r="N39"/>
  <c r="N25" i="1"/>
  <c r="J40" i="8"/>
  <c r="J26" i="15"/>
  <c r="N25" i="6"/>
  <c r="N175" s="1"/>
  <c r="D27" i="18"/>
  <c r="E25"/>
  <c r="I25"/>
  <c r="I175" s="1"/>
  <c r="E24" i="19"/>
  <c r="H25" i="26"/>
  <c r="J32"/>
  <c r="N143"/>
  <c r="N180" s="1"/>
  <c r="N50" i="31"/>
  <c r="J50" s="1"/>
  <c r="N25" i="13"/>
  <c r="N175" s="1"/>
  <c r="N169" s="1"/>
  <c r="N177" s="1"/>
  <c r="N178" s="1"/>
  <c r="D23" i="30"/>
  <c r="J52" i="31"/>
  <c r="G22" i="6"/>
  <c r="G22" i="15"/>
  <c r="G22" i="18"/>
  <c r="M150" i="11"/>
  <c r="M150" i="29" s="1"/>
  <c r="M150" i="30" s="1"/>
  <c r="I146" i="27"/>
  <c r="I146" i="28" s="1"/>
  <c r="J29" i="19"/>
  <c r="J60" i="20"/>
  <c r="E25" i="12"/>
  <c r="I25"/>
  <c r="I175" s="1"/>
  <c r="J26" i="4"/>
  <c r="J42"/>
  <c r="K22"/>
  <c r="K44" s="1"/>
  <c r="J13" i="1"/>
  <c r="J18" i="6"/>
  <c r="J34"/>
  <c r="O25"/>
  <c r="O22" s="1"/>
  <c r="J29" i="8"/>
  <c r="M39"/>
  <c r="K25"/>
  <c r="L39" i="15"/>
  <c r="M39"/>
  <c r="M22"/>
  <c r="M44" s="1"/>
  <c r="O25"/>
  <c r="O22" s="1"/>
  <c r="O44" s="1"/>
  <c r="J15" i="18"/>
  <c r="N30"/>
  <c r="K25"/>
  <c r="M25"/>
  <c r="M175" s="1"/>
  <c r="O25"/>
  <c r="O175" s="1"/>
  <c r="N25" i="4"/>
  <c r="N175" s="1"/>
  <c r="N169" s="1"/>
  <c r="N177" s="1"/>
  <c r="N178" s="1"/>
  <c r="N25" i="8"/>
  <c r="N175" s="1"/>
  <c r="L25" i="10"/>
  <c r="L175" s="1"/>
  <c r="N25"/>
  <c r="N175" s="1"/>
  <c r="L25" i="15"/>
  <c r="L175" s="1"/>
  <c r="N25"/>
  <c r="N175" s="1"/>
  <c r="N169" s="1"/>
  <c r="N177" s="1"/>
  <c r="N15" i="26"/>
  <c r="I15" i="28"/>
  <c r="I6" i="27"/>
  <c r="K15"/>
  <c r="N15" i="28"/>
  <c r="O144" i="27"/>
  <c r="O150" i="11"/>
  <c r="O150" i="29" s="1"/>
  <c r="O150" i="30" s="1"/>
  <c r="O144" i="32"/>
  <c r="O144" i="33" s="1"/>
  <c r="J41" i="1"/>
  <c r="J52" i="26"/>
  <c r="O146" i="27"/>
  <c r="O146" i="28" s="1"/>
  <c r="J15" i="3"/>
  <c r="G22"/>
  <c r="J9"/>
  <c r="M39"/>
  <c r="O25"/>
  <c r="O175" s="1"/>
  <c r="O169" s="1"/>
  <c r="O177" s="1"/>
  <c r="O178" s="1"/>
  <c r="J34"/>
  <c r="E25"/>
  <c r="D23"/>
  <c r="M42" i="26"/>
  <c r="D29"/>
  <c r="M27"/>
  <c r="D19"/>
  <c r="D77"/>
  <c r="G29" i="1"/>
  <c r="G176" s="1"/>
  <c r="D176" s="1"/>
  <c r="F64" i="31"/>
  <c r="D64" s="1"/>
  <c r="D49" i="27"/>
  <c r="G28"/>
  <c r="G174" s="1"/>
  <c r="D29" i="2"/>
  <c r="E25"/>
  <c r="D23"/>
  <c r="N43" i="26"/>
  <c r="J43" s="1"/>
  <c r="N34"/>
  <c r="E15"/>
  <c r="G22" i="13"/>
  <c r="O22"/>
  <c r="O44" s="1"/>
  <c r="L39"/>
  <c r="J42"/>
  <c r="K22"/>
  <c r="K44" s="1"/>
  <c r="I143" i="26"/>
  <c r="I180" s="1"/>
  <c r="G47" i="27"/>
  <c r="H47"/>
  <c r="H46" s="1"/>
  <c r="I47"/>
  <c r="L47"/>
  <c r="L46" s="1"/>
  <c r="E47" i="28"/>
  <c r="E147" i="27"/>
  <c r="E147" i="28" s="1"/>
  <c r="E147" i="11"/>
  <c r="F147" i="27"/>
  <c r="F147" i="28" s="1"/>
  <c r="F147" i="11"/>
  <c r="H147" i="27"/>
  <c r="H147" i="28" s="1"/>
  <c r="H147" i="11"/>
  <c r="G47" i="31"/>
  <c r="I144" i="11"/>
  <c r="I144" i="29" s="1"/>
  <c r="H52" i="11"/>
  <c r="E15" i="2"/>
  <c r="I15"/>
  <c r="D28"/>
  <c r="G22"/>
  <c r="I15" i="26"/>
  <c r="D13"/>
  <c r="N6"/>
  <c r="E6" i="27"/>
  <c r="O8"/>
  <c r="O8" i="28" s="1"/>
  <c r="H15" i="27"/>
  <c r="O30" i="26"/>
  <c r="M30"/>
  <c r="N41"/>
  <c r="J71" i="31"/>
  <c r="J73"/>
  <c r="D9" i="15"/>
  <c r="D18" i="13"/>
  <c r="D15" s="1"/>
  <c r="D28" i="12"/>
  <c r="D28" i="10"/>
  <c r="G22"/>
  <c r="D18" i="8"/>
  <c r="D18" i="4"/>
  <c r="D9"/>
  <c r="D18" i="3"/>
  <c r="J12" i="26"/>
  <c r="J158"/>
  <c r="D8"/>
  <c r="D53" i="27"/>
  <c r="J53" i="28"/>
  <c r="K158" i="20"/>
  <c r="K158" i="32" s="1"/>
  <c r="K158" i="33" s="1"/>
  <c r="K158" i="31"/>
  <c r="K47" i="20"/>
  <c r="K47" i="31"/>
  <c r="K65"/>
  <c r="M158"/>
  <c r="O158"/>
  <c r="K59"/>
  <c r="N147"/>
  <c r="L65"/>
  <c r="L158"/>
  <c r="N158"/>
  <c r="I24" i="26"/>
  <c r="I175" s="1"/>
  <c r="I147" i="31"/>
  <c r="D147" s="1"/>
  <c r="I59"/>
  <c r="D58"/>
  <c r="D18" i="18"/>
  <c r="D9"/>
  <c r="J18" i="15"/>
  <c r="J27"/>
  <c r="D27"/>
  <c r="F19" i="20"/>
  <c r="D19" s="1"/>
  <c r="F19" i="31"/>
  <c r="D19" s="1"/>
  <c r="K146" i="20"/>
  <c r="K146" i="32" s="1"/>
  <c r="K146" i="31"/>
  <c r="M146" i="20"/>
  <c r="M146" i="32" s="1"/>
  <c r="M146" i="33" s="1"/>
  <c r="M146" i="31"/>
  <c r="M143" s="1"/>
  <c r="M180" s="1"/>
  <c r="O146" i="20"/>
  <c r="O146" i="31"/>
  <c r="O147" i="20"/>
  <c r="O147" i="32" s="1"/>
  <c r="O147" i="33" s="1"/>
  <c r="O147" i="31"/>
  <c r="J147" s="1"/>
  <c r="L146"/>
  <c r="L143" s="1"/>
  <c r="N146" i="20"/>
  <c r="N146" i="32" s="1"/>
  <c r="N146" i="33" s="1"/>
  <c r="N143" s="1"/>
  <c r="N180" s="1"/>
  <c r="N146" i="31"/>
  <c r="J83" i="19"/>
  <c r="L83" i="31"/>
  <c r="J83" s="1"/>
  <c r="L59" i="20"/>
  <c r="L59" i="32" s="1"/>
  <c r="L59" i="33" s="1"/>
  <c r="J59" s="1"/>
  <c r="L59" i="31"/>
  <c r="L52" i="20"/>
  <c r="L52" i="31"/>
  <c r="M47"/>
  <c r="N52" i="20"/>
  <c r="N52" i="32" s="1"/>
  <c r="N52" i="31"/>
  <c r="M52" i="20"/>
  <c r="M52" i="31"/>
  <c r="L47" i="20"/>
  <c r="L47" i="31"/>
  <c r="N47"/>
  <c r="N46" s="1"/>
  <c r="O47" i="20"/>
  <c r="O46" s="1"/>
  <c r="O47" i="31"/>
  <c r="O46" s="1"/>
  <c r="N49" i="20"/>
  <c r="N49" i="31"/>
  <c r="J49" s="1"/>
  <c r="M39" i="13"/>
  <c r="J27"/>
  <c r="J6"/>
  <c r="M25"/>
  <c r="M175" s="1"/>
  <c r="N22"/>
  <c r="N44" s="1"/>
  <c r="F146" i="20"/>
  <c r="F146" i="32" s="1"/>
  <c r="F146" i="31"/>
  <c r="F143" s="1"/>
  <c r="H146" i="20"/>
  <c r="H146" i="31"/>
  <c r="H143" s="1"/>
  <c r="H180" s="1"/>
  <c r="I146" i="20"/>
  <c r="I146" i="31"/>
  <c r="E146" i="20"/>
  <c r="E146" i="32" s="1"/>
  <c r="E146" i="31"/>
  <c r="G146" i="20"/>
  <c r="G146" i="32" s="1"/>
  <c r="G146" i="31"/>
  <c r="G143" s="1"/>
  <c r="G180" s="1"/>
  <c r="E65" i="20"/>
  <c r="E65" i="31"/>
  <c r="D65" s="1"/>
  <c r="F89" i="20"/>
  <c r="F89" i="31"/>
  <c r="D89" s="1"/>
  <c r="F83" i="20"/>
  <c r="F83" i="32" s="1"/>
  <c r="F83" i="33" s="1"/>
  <c r="F83" i="31"/>
  <c r="H71" i="20"/>
  <c r="H71" i="31"/>
  <c r="G71" i="20"/>
  <c r="D71" s="1"/>
  <c r="G71" i="31"/>
  <c r="D71" s="1"/>
  <c r="F59" i="20"/>
  <c r="F59" i="31"/>
  <c r="E59" i="20"/>
  <c r="E59" i="31"/>
  <c r="D59" s="1"/>
  <c r="G53" i="20"/>
  <c r="G53" i="32" s="1"/>
  <c r="G53" i="31"/>
  <c r="H47" i="20"/>
  <c r="H46" s="1"/>
  <c r="H47" i="31"/>
  <c r="H46" s="1"/>
  <c r="E47" i="20"/>
  <c r="E46" s="1"/>
  <c r="E47" i="31"/>
  <c r="E46" s="1"/>
  <c r="H53" i="20"/>
  <c r="H53" i="31"/>
  <c r="H57" i="20"/>
  <c r="H57" i="32" s="1"/>
  <c r="D57" s="1"/>
  <c r="H57" i="31"/>
  <c r="D57" s="1"/>
  <c r="H49" i="20"/>
  <c r="D49" s="1"/>
  <c r="H49" i="31"/>
  <c r="I47" i="20"/>
  <c r="I47" i="31"/>
  <c r="I46" s="1"/>
  <c r="F47" i="20"/>
  <c r="F46" s="1"/>
  <c r="F47" i="31"/>
  <c r="F46" s="1"/>
  <c r="D52"/>
  <c r="G20" i="20"/>
  <c r="G20" i="32" s="1"/>
  <c r="G27" s="1"/>
  <c r="G20" i="31"/>
  <c r="F20" i="20"/>
  <c r="F20" i="32" s="1"/>
  <c r="F20" i="33" s="1"/>
  <c r="F20" i="31"/>
  <c r="G21" i="20"/>
  <c r="G21" i="32" s="1"/>
  <c r="G21" i="33" s="1"/>
  <c r="G21" i="31"/>
  <c r="F21" i="20"/>
  <c r="F21" i="31"/>
  <c r="D21" s="1"/>
  <c r="I17" i="20"/>
  <c r="I17" i="32" s="1"/>
  <c r="I17" i="31"/>
  <c r="I15" s="1"/>
  <c r="E17" i="20"/>
  <c r="E15" s="1"/>
  <c r="E17" i="31"/>
  <c r="I15" i="20"/>
  <c r="H17"/>
  <c r="H17" i="31"/>
  <c r="H15" s="1"/>
  <c r="G17" i="20"/>
  <c r="G17" i="31"/>
  <c r="F17" i="20"/>
  <c r="F17" i="31"/>
  <c r="G14" i="20"/>
  <c r="G14" i="31"/>
  <c r="G12" i="20"/>
  <c r="G12" i="31"/>
  <c r="F12" i="20"/>
  <c r="F12" i="32" s="1"/>
  <c r="F12" i="31"/>
  <c r="F11" i="20"/>
  <c r="D11" s="1"/>
  <c r="F11" i="31"/>
  <c r="D27" i="19"/>
  <c r="D9" i="13"/>
  <c r="D27"/>
  <c r="H12" i="20"/>
  <c r="H12" i="32" s="1"/>
  <c r="H12" i="31"/>
  <c r="F10" i="20"/>
  <c r="F10" i="32" s="1"/>
  <c r="D10" s="1"/>
  <c r="F10" i="31"/>
  <c r="H8" i="20"/>
  <c r="H8" i="32" s="1"/>
  <c r="H8" i="31"/>
  <c r="G8" i="20"/>
  <c r="G8" i="32" s="1"/>
  <c r="G8" i="31"/>
  <c r="F8" i="20"/>
  <c r="F8" i="32" s="1"/>
  <c r="F8" i="31"/>
  <c r="I8" i="20"/>
  <c r="I8" i="32" s="1"/>
  <c r="I8" i="31"/>
  <c r="E8" i="20"/>
  <c r="E8" i="32" s="1"/>
  <c r="E8" i="31"/>
  <c r="H6" i="20"/>
  <c r="D18" i="10"/>
  <c r="D15" s="1"/>
  <c r="D9"/>
  <c r="D27"/>
  <c r="M25" i="8"/>
  <c r="M22" s="1"/>
  <c r="J26" i="12"/>
  <c r="D15" i="8"/>
  <c r="D26"/>
  <c r="D27"/>
  <c r="D9"/>
  <c r="M25" i="6"/>
  <c r="M175" s="1"/>
  <c r="D18"/>
  <c r="D15" s="1"/>
  <c r="D9"/>
  <c r="D27"/>
  <c r="M25" i="4"/>
  <c r="M22" s="1"/>
  <c r="M44" s="1"/>
  <c r="J27"/>
  <c r="D27"/>
  <c r="F20" i="11"/>
  <c r="F20" i="29" s="1"/>
  <c r="F20" i="30" s="1"/>
  <c r="L24" i="26"/>
  <c r="N143" i="32"/>
  <c r="N180" s="1"/>
  <c r="M147"/>
  <c r="M147" i="33" s="1"/>
  <c r="O146" i="32"/>
  <c r="O146" i="33" s="1"/>
  <c r="J144" i="32"/>
  <c r="M71"/>
  <c r="M73"/>
  <c r="L83"/>
  <c r="L83" i="33" s="1"/>
  <c r="N71" i="32"/>
  <c r="N73"/>
  <c r="N73" i="33" s="1"/>
  <c r="L52" i="32"/>
  <c r="M52"/>
  <c r="O15" i="26"/>
  <c r="K15"/>
  <c r="F146" i="33"/>
  <c r="H146" i="32"/>
  <c r="E146" i="33"/>
  <c r="G146"/>
  <c r="H71" i="32"/>
  <c r="H71" i="33" s="1"/>
  <c r="G71" i="32"/>
  <c r="E65"/>
  <c r="F59"/>
  <c r="F59" i="33" s="1"/>
  <c r="E59" i="32"/>
  <c r="H57" i="33"/>
  <c r="D57" s="1"/>
  <c r="G53"/>
  <c r="D52" i="28"/>
  <c r="H53" i="32"/>
  <c r="H53" i="33" s="1"/>
  <c r="H49" i="32"/>
  <c r="G20" i="33"/>
  <c r="G18" i="32"/>
  <c r="G25" s="1"/>
  <c r="D20"/>
  <c r="F21"/>
  <c r="F28" s="1"/>
  <c r="F174" s="1"/>
  <c r="F19"/>
  <c r="F26" s="1"/>
  <c r="D26" s="1"/>
  <c r="G20" i="11"/>
  <c r="G20" i="29" s="1"/>
  <c r="H17" i="32"/>
  <c r="G17"/>
  <c r="F17"/>
  <c r="I22" i="26"/>
  <c r="G14" i="32"/>
  <c r="H58" i="33"/>
  <c r="D58" s="1"/>
  <c r="H58" i="32"/>
  <c r="D58" s="1"/>
  <c r="G12"/>
  <c r="F10" i="33"/>
  <c r="F12"/>
  <c r="F11" i="32"/>
  <c r="N57" i="20"/>
  <c r="N57" i="32" s="1"/>
  <c r="N57" i="31"/>
  <c r="J57" s="1"/>
  <c r="K143"/>
  <c r="K147" i="32"/>
  <c r="L20" i="20"/>
  <c r="L20" i="31"/>
  <c r="L19" i="20"/>
  <c r="L19" i="31"/>
  <c r="M20" i="20"/>
  <c r="M20" i="31"/>
  <c r="L11" i="20"/>
  <c r="L11" i="32" s="1"/>
  <c r="L11" i="33" s="1"/>
  <c r="L11" i="31"/>
  <c r="L10" i="20"/>
  <c r="L10" i="32" s="1"/>
  <c r="L10" i="33" s="1"/>
  <c r="L10" i="31"/>
  <c r="L9" i="19"/>
  <c r="L6" s="1"/>
  <c r="L17" i="20"/>
  <c r="L17" i="32" s="1"/>
  <c r="L17" i="33" s="1"/>
  <c r="L17" i="31"/>
  <c r="N17" i="20"/>
  <c r="N17" i="32" s="1"/>
  <c r="N17" i="31"/>
  <c r="N15" s="1"/>
  <c r="M17" i="20"/>
  <c r="M17" i="32" s="1"/>
  <c r="M17" i="33" s="1"/>
  <c r="M17" i="31"/>
  <c r="O17" i="20"/>
  <c r="O17" i="31"/>
  <c r="O15" s="1"/>
  <c r="N15" i="20"/>
  <c r="K17"/>
  <c r="K17" i="31"/>
  <c r="O8" i="20"/>
  <c r="O8" i="32" s="1"/>
  <c r="O8" i="33" s="1"/>
  <c r="O8" i="31"/>
  <c r="O6" i="20"/>
  <c r="N8"/>
  <c r="N8" i="32" s="1"/>
  <c r="N8" i="33" s="1"/>
  <c r="N8" i="31"/>
  <c r="N24" s="1"/>
  <c r="N175" s="1"/>
  <c r="M8" i="20"/>
  <c r="M8" i="32" s="1"/>
  <c r="M8" i="33" s="1"/>
  <c r="M8" i="31"/>
  <c r="M24" s="1"/>
  <c r="L8" i="20"/>
  <c r="L8" i="32" s="1"/>
  <c r="L8" i="33" s="1"/>
  <c r="L8" i="31"/>
  <c r="L24" s="1"/>
  <c r="K8" i="20"/>
  <c r="K8" i="32" s="1"/>
  <c r="K8" i="31"/>
  <c r="K6" i="20"/>
  <c r="J6" i="15"/>
  <c r="N53" i="20"/>
  <c r="N53" i="32" s="1"/>
  <c r="N53" i="33" s="1"/>
  <c r="N53" i="31"/>
  <c r="M53" i="20"/>
  <c r="M53" i="32" s="1"/>
  <c r="M53" i="31"/>
  <c r="J53" s="1"/>
  <c r="L89" i="20"/>
  <c r="L89" i="31"/>
  <c r="J89" s="1"/>
  <c r="J77"/>
  <c r="L21" i="20"/>
  <c r="L21" i="32" s="1"/>
  <c r="L21" i="33" s="1"/>
  <c r="L21" i="31"/>
  <c r="M21" i="20"/>
  <c r="M21" i="32" s="1"/>
  <c r="M21" i="33" s="1"/>
  <c r="M21" i="31"/>
  <c r="J15" i="15"/>
  <c r="M14" i="20"/>
  <c r="M14" i="32" s="1"/>
  <c r="M14" i="33" s="1"/>
  <c r="M14" i="31"/>
  <c r="L12" i="20"/>
  <c r="L12" i="31"/>
  <c r="M12" i="20"/>
  <c r="M12" i="31"/>
  <c r="J58" i="19"/>
  <c r="J58" i="31"/>
  <c r="N12" i="20"/>
  <c r="N12" i="32" s="1"/>
  <c r="N12" i="33" s="1"/>
  <c r="N12" i="31"/>
  <c r="J158"/>
  <c r="N38" i="20"/>
  <c r="N38" i="32" s="1"/>
  <c r="N38" i="33" s="1"/>
  <c r="N38" i="31"/>
  <c r="M37" i="20"/>
  <c r="M37" i="32" s="1"/>
  <c r="M37" i="33" s="1"/>
  <c r="M37" i="31"/>
  <c r="L37" i="20"/>
  <c r="L37" i="32" s="1"/>
  <c r="L37" i="33" s="1"/>
  <c r="L37" i="31"/>
  <c r="L36" i="20"/>
  <c r="L36" i="32" s="1"/>
  <c r="L36" i="33" s="1"/>
  <c r="L36" i="31"/>
  <c r="J40" i="13"/>
  <c r="J41"/>
  <c r="N39"/>
  <c r="J39" s="1"/>
  <c r="J18"/>
  <c r="L18" i="20"/>
  <c r="L25" i="13"/>
  <c r="J25" s="1"/>
  <c r="J18" i="19"/>
  <c r="J15" i="13"/>
  <c r="L28" i="19"/>
  <c r="L174" s="1"/>
  <c r="M22" i="13"/>
  <c r="M44" s="1"/>
  <c r="K151"/>
  <c r="K45" s="1"/>
  <c r="K24" i="19"/>
  <c r="J24" s="1"/>
  <c r="D20" i="11"/>
  <c r="D27" i="12"/>
  <c r="E143" i="27"/>
  <c r="F21" i="11"/>
  <c r="F21" i="29" s="1"/>
  <c r="F21" i="30" s="1"/>
  <c r="K8" i="11"/>
  <c r="K6" s="1"/>
  <c r="L154"/>
  <c r="G143" i="1"/>
  <c r="G180" s="1"/>
  <c r="G147" i="27"/>
  <c r="I147" i="29"/>
  <c r="I147" i="30" s="1"/>
  <c r="I147" i="27"/>
  <c r="I147" i="28" s="1"/>
  <c r="G6" i="26"/>
  <c r="H6"/>
  <c r="D64" i="27"/>
  <c r="D52"/>
  <c r="F143" i="28"/>
  <c r="H73" i="20"/>
  <c r="I147"/>
  <c r="N39" i="10"/>
  <c r="J42"/>
  <c r="J34"/>
  <c r="J30"/>
  <c r="J40"/>
  <c r="J41"/>
  <c r="J18"/>
  <c r="J15" s="1"/>
  <c r="J9"/>
  <c r="J27"/>
  <c r="J26"/>
  <c r="N39" i="8"/>
  <c r="J39" s="1"/>
  <c r="J41"/>
  <c r="J42"/>
  <c r="J18"/>
  <c r="J15" s="1"/>
  <c r="L25"/>
  <c r="L22" s="1"/>
  <c r="J9"/>
  <c r="J6" s="1"/>
  <c r="N22"/>
  <c r="J30" i="6"/>
  <c r="J42"/>
  <c r="J40"/>
  <c r="J41"/>
  <c r="J15"/>
  <c r="J9" i="12"/>
  <c r="J26" i="6"/>
  <c r="L25"/>
  <c r="L175" s="1"/>
  <c r="J27"/>
  <c r="J9"/>
  <c r="J6" s="1"/>
  <c r="O52" i="20"/>
  <c r="J52" s="1"/>
  <c r="J18" i="4"/>
  <c r="J9"/>
  <c r="L25"/>
  <c r="L175" s="1"/>
  <c r="J42" i="3"/>
  <c r="J40"/>
  <c r="J26"/>
  <c r="L25"/>
  <c r="L175" s="1"/>
  <c r="M15" i="26"/>
  <c r="F20" i="28"/>
  <c r="D20" i="27"/>
  <c r="G73"/>
  <c r="D73" i="1"/>
  <c r="G20" i="28"/>
  <c r="G18" i="27"/>
  <c r="G27"/>
  <c r="I143"/>
  <c r="I180" s="1"/>
  <c r="M8" i="28"/>
  <c r="M24" i="27"/>
  <c r="F27"/>
  <c r="G73" i="11"/>
  <c r="D15" i="3"/>
  <c r="J20" i="27"/>
  <c r="J24" i="1"/>
  <c r="J6" i="3"/>
  <c r="O15"/>
  <c r="J27"/>
  <c r="J29"/>
  <c r="J41"/>
  <c r="J71" i="20"/>
  <c r="K25" i="3"/>
  <c r="M25"/>
  <c r="M22" s="1"/>
  <c r="M44" s="1"/>
  <c r="E15"/>
  <c r="D28"/>
  <c r="I25"/>
  <c r="I175" s="1"/>
  <c r="H25"/>
  <c r="H175" s="1"/>
  <c r="J58" i="26"/>
  <c r="L41"/>
  <c r="J36"/>
  <c r="L34"/>
  <c r="L27"/>
  <c r="N28"/>
  <c r="N174" s="1"/>
  <c r="I6"/>
  <c r="D14"/>
  <c r="J8"/>
  <c r="M24"/>
  <c r="O24"/>
  <c r="O175" s="1"/>
  <c r="J17"/>
  <c r="J53"/>
  <c r="O143"/>
  <c r="O180" s="1"/>
  <c r="D57" i="27"/>
  <c r="L42"/>
  <c r="E24"/>
  <c r="O6"/>
  <c r="D10"/>
  <c r="J53"/>
  <c r="G18" i="1"/>
  <c r="G15" s="1"/>
  <c r="J58" i="11"/>
  <c r="N40" i="27"/>
  <c r="N8" i="28"/>
  <c r="N24" i="27"/>
  <c r="N175" s="1"/>
  <c r="L11" i="28"/>
  <c r="J11" s="1"/>
  <c r="J11" i="27"/>
  <c r="J9" s="1"/>
  <c r="J12"/>
  <c r="J13"/>
  <c r="J58"/>
  <c r="M14" i="28"/>
  <c r="J14" i="27"/>
  <c r="M29"/>
  <c r="M176" s="1"/>
  <c r="J176" s="1"/>
  <c r="L19" i="28"/>
  <c r="J19" s="1"/>
  <c r="J19" i="27"/>
  <c r="L21" i="28"/>
  <c r="J21" s="1"/>
  <c r="J21" i="27"/>
  <c r="L36" i="28"/>
  <c r="M31" i="27"/>
  <c r="M171" s="1"/>
  <c r="M170" s="1"/>
  <c r="J36"/>
  <c r="L41"/>
  <c r="M37" i="28"/>
  <c r="M34" s="1"/>
  <c r="N32" i="27"/>
  <c r="M34"/>
  <c r="M42"/>
  <c r="N57" i="28"/>
  <c r="J57" s="1"/>
  <c r="J57" i="27"/>
  <c r="L83" i="28"/>
  <c r="J83" i="27"/>
  <c r="O144" i="28"/>
  <c r="J144" s="1"/>
  <c r="J144" i="27"/>
  <c r="M146" i="28"/>
  <c r="M143" i="27"/>
  <c r="M180" s="1"/>
  <c r="L26" i="26"/>
  <c r="J26" s="1"/>
  <c r="L28"/>
  <c r="L174" s="1"/>
  <c r="O6"/>
  <c r="M6"/>
  <c r="L9"/>
  <c r="L6" s="1"/>
  <c r="J154" i="27"/>
  <c r="N143"/>
  <c r="N180" s="1"/>
  <c r="O24"/>
  <c r="O175" s="1"/>
  <c r="L28"/>
  <c r="L174" s="1"/>
  <c r="N15"/>
  <c r="O6" i="28"/>
  <c r="K157" i="2"/>
  <c r="J27" i="1"/>
  <c r="J28"/>
  <c r="L39"/>
  <c r="D27"/>
  <c r="D18" i="2"/>
  <c r="D77" i="28"/>
  <c r="H25" i="2"/>
  <c r="H175" s="1"/>
  <c r="O158" i="11"/>
  <c r="M158"/>
  <c r="H146" i="28"/>
  <c r="H143" s="1"/>
  <c r="H180" s="1"/>
  <c r="H143" i="27"/>
  <c r="H180" s="1"/>
  <c r="D146" i="1"/>
  <c r="L52" i="11"/>
  <c r="L52" i="30" s="1"/>
  <c r="O147" i="11"/>
  <c r="O147" i="29" s="1"/>
  <c r="K143" i="20"/>
  <c r="J9" i="1"/>
  <c r="O23"/>
  <c r="O175" s="1"/>
  <c r="N53" i="11"/>
  <c r="N53" i="29" s="1"/>
  <c r="N53" i="30" s="1"/>
  <c r="L83" i="11"/>
  <c r="J28" i="26"/>
  <c r="N23" i="1"/>
  <c r="N175" s="1"/>
  <c r="H50" i="11"/>
  <c r="D50" s="1"/>
  <c r="D47" i="12"/>
  <c r="G47" i="20"/>
  <c r="G46" s="1"/>
  <c r="D53"/>
  <c r="D53" i="26"/>
  <c r="D57" i="20"/>
  <c r="O33"/>
  <c r="O173" s="1"/>
  <c r="J38"/>
  <c r="N34"/>
  <c r="N43"/>
  <c r="J43" s="1"/>
  <c r="H28" i="19"/>
  <c r="H174" s="1"/>
  <c r="L19" i="11"/>
  <c r="J19" s="1"/>
  <c r="N38"/>
  <c r="O33" s="1"/>
  <c r="O173" s="1"/>
  <c r="N49"/>
  <c r="D73"/>
  <c r="D47" i="19"/>
  <c r="G73" i="20"/>
  <c r="H47" i="11"/>
  <c r="F59"/>
  <c r="F59" i="29" s="1"/>
  <c r="F59" i="30" s="1"/>
  <c r="J144" i="20"/>
  <c r="F18"/>
  <c r="F15" s="1"/>
  <c r="F27"/>
  <c r="L25" i="12"/>
  <c r="L175" s="1"/>
  <c r="M12" i="11"/>
  <c r="L17"/>
  <c r="L17" i="29" s="1"/>
  <c r="L17" i="30" s="1"/>
  <c r="N17" i="11"/>
  <c r="N17" i="29" s="1"/>
  <c r="O17" i="11"/>
  <c r="L64"/>
  <c r="L64" i="29" s="1"/>
  <c r="L64" i="30" s="1"/>
  <c r="M73" i="11"/>
  <c r="M73" i="29" s="1"/>
  <c r="J27" i="26"/>
  <c r="M25"/>
  <c r="D15" i="18"/>
  <c r="D15" i="15"/>
  <c r="F25"/>
  <c r="F175" s="1"/>
  <c r="D175" s="1"/>
  <c r="F25" i="10"/>
  <c r="F175" s="1"/>
  <c r="D6" i="6"/>
  <c r="D15" i="4"/>
  <c r="N31" i="20"/>
  <c r="L42"/>
  <c r="L34"/>
  <c r="N28"/>
  <c r="N174" s="1"/>
  <c r="J12"/>
  <c r="J13"/>
  <c r="J58"/>
  <c r="O143"/>
  <c r="O180" s="1"/>
  <c r="J42" i="1"/>
  <c r="J18" i="12"/>
  <c r="J78"/>
  <c r="F147" i="29"/>
  <c r="F147" i="30" s="1"/>
  <c r="J64" i="26"/>
  <c r="J32" i="27"/>
  <c r="J18"/>
  <c r="M53" i="11"/>
  <c r="J26" i="1"/>
  <c r="M40" i="26"/>
  <c r="M39" s="1"/>
  <c r="M23" i="1"/>
  <c r="M175" s="1"/>
  <c r="H53" i="11"/>
  <c r="H53" i="29" s="1"/>
  <c r="H53" i="30" s="1"/>
  <c r="H57" i="11"/>
  <c r="G21"/>
  <c r="G21" i="29" s="1"/>
  <c r="O8" i="11"/>
  <c r="L11"/>
  <c r="L12"/>
  <c r="L12" i="29" s="1"/>
  <c r="L12" i="30" s="1"/>
  <c r="M21" i="11"/>
  <c r="M21" i="29" s="1"/>
  <c r="M21" i="30" s="1"/>
  <c r="L37" i="11"/>
  <c r="M37"/>
  <c r="N57"/>
  <c r="J57" s="1"/>
  <c r="L59"/>
  <c r="L59" i="29" s="1"/>
  <c r="L59" i="30" s="1"/>
  <c r="K64" i="11"/>
  <c r="L64" i="20"/>
  <c r="L64" i="32" s="1"/>
  <c r="N146" i="11"/>
  <c r="N146" i="29" s="1"/>
  <c r="K147" i="11"/>
  <c r="I59" i="20"/>
  <c r="D6" i="18"/>
  <c r="D26" i="15"/>
  <c r="F22"/>
  <c r="F44" s="1"/>
  <c r="F24" i="19"/>
  <c r="G24"/>
  <c r="H24"/>
  <c r="H175" s="1"/>
  <c r="F17" i="11"/>
  <c r="F17" i="29" s="1"/>
  <c r="H24" i="26"/>
  <c r="H175" s="1"/>
  <c r="J48" i="20"/>
  <c r="J49"/>
  <c r="L27"/>
  <c r="J11"/>
  <c r="J10"/>
  <c r="L9"/>
  <c r="L26"/>
  <c r="J26" s="1"/>
  <c r="H50" i="29"/>
  <c r="D50" s="1"/>
  <c r="M158"/>
  <c r="M158" i="30" s="1"/>
  <c r="M158" i="20"/>
  <c r="M39" i="1"/>
  <c r="M39" i="12"/>
  <c r="J27"/>
  <c r="L25" i="19"/>
  <c r="L175" s="1"/>
  <c r="I24"/>
  <c r="H147" i="20"/>
  <c r="J34" i="26"/>
  <c r="J33"/>
  <c r="J41"/>
  <c r="N24" i="28"/>
  <c r="N175" s="1"/>
  <c r="D77" i="27"/>
  <c r="F89" i="11"/>
  <c r="H49"/>
  <c r="G14"/>
  <c r="G28" i="1"/>
  <c r="G174" s="1"/>
  <c r="D174" s="1"/>
  <c r="H71" i="11"/>
  <c r="H71" i="29" s="1"/>
  <c r="M8" i="11"/>
  <c r="M8" i="29" s="1"/>
  <c r="N8" i="11"/>
  <c r="N8" i="29" s="1"/>
  <c r="N8" i="30" s="1"/>
  <c r="M14" i="11"/>
  <c r="K17"/>
  <c r="K24" s="1"/>
  <c r="K22" s="1"/>
  <c r="K44" s="1"/>
  <c r="L21"/>
  <c r="M20"/>
  <c r="L47"/>
  <c r="L46" s="1"/>
  <c r="N52"/>
  <c r="N52" i="30" s="1"/>
  <c r="O52" i="11"/>
  <c r="O52" i="30" s="1"/>
  <c r="K64" i="20"/>
  <c r="K64" i="32" s="1"/>
  <c r="M71" i="11"/>
  <c r="N71"/>
  <c r="O144"/>
  <c r="O146"/>
  <c r="N147"/>
  <c r="L158"/>
  <c r="F52" i="20"/>
  <c r="I59" i="11"/>
  <c r="I59" i="29" s="1"/>
  <c r="I59" i="30" s="1"/>
  <c r="I59" i="27"/>
  <c r="I59" i="28" s="1"/>
  <c r="F64" i="11"/>
  <c r="F64" i="20"/>
  <c r="N39" i="12"/>
  <c r="J9" i="19"/>
  <c r="J6" s="1"/>
  <c r="D9" i="12"/>
  <c r="D6" s="1"/>
  <c r="J9" i="26"/>
  <c r="J71"/>
  <c r="J73"/>
  <c r="K23" i="1"/>
  <c r="L25"/>
  <c r="J25" s="1"/>
  <c r="N143" i="28"/>
  <c r="N180" s="1"/>
  <c r="K65" i="20"/>
  <c r="K65" i="32" s="1"/>
  <c r="J65" s="1"/>
  <c r="I146" i="11"/>
  <c r="H147" i="29"/>
  <c r="H147" i="30" s="1"/>
  <c r="E146" i="11"/>
  <c r="E146" i="29" s="1"/>
  <c r="I52" i="20"/>
  <c r="I52" i="32" s="1"/>
  <c r="I52" i="33" s="1"/>
  <c r="H52" i="20"/>
  <c r="G52"/>
  <c r="E64"/>
  <c r="E64" i="32" s="1"/>
  <c r="I52" i="11"/>
  <c r="G52"/>
  <c r="H146"/>
  <c r="G146"/>
  <c r="G146" i="29" s="1"/>
  <c r="G143" s="1"/>
  <c r="G180" s="1"/>
  <c r="D47" i="26"/>
  <c r="G47" i="11"/>
  <c r="E47"/>
  <c r="D6" i="8"/>
  <c r="D15" i="2"/>
  <c r="E17" i="11"/>
  <c r="E17" i="29" s="1"/>
  <c r="F83" i="11"/>
  <c r="D18" i="19"/>
  <c r="D15" s="1"/>
  <c r="F25" i="18"/>
  <c r="F175" s="1"/>
  <c r="D175" s="1"/>
  <c r="D6" i="10"/>
  <c r="F25" i="4"/>
  <c r="F175" s="1"/>
  <c r="D175" s="1"/>
  <c r="F9" i="27"/>
  <c r="F25" i="3"/>
  <c r="F175" s="1"/>
  <c r="D175" s="1"/>
  <c r="H17" i="11"/>
  <c r="H17" i="29" s="1"/>
  <c r="F25" i="12"/>
  <c r="F175" s="1"/>
  <c r="I6" i="20"/>
  <c r="H24"/>
  <c r="H175" s="1"/>
  <c r="H15"/>
  <c r="E24"/>
  <c r="E6"/>
  <c r="E24" i="26"/>
  <c r="D9" i="3"/>
  <c r="D27"/>
  <c r="F18" i="19"/>
  <c r="F15" s="1"/>
  <c r="F9" i="20"/>
  <c r="D10"/>
  <c r="D9" s="1"/>
  <c r="F26"/>
  <c r="D26" s="1"/>
  <c r="D26" i="19"/>
  <c r="D9"/>
  <c r="D6" s="1"/>
  <c r="D26" i="13"/>
  <c r="F25"/>
  <c r="F175" s="1"/>
  <c r="D26" i="10"/>
  <c r="F25" i="8"/>
  <c r="F175" s="1"/>
  <c r="D26" i="6"/>
  <c r="F25"/>
  <c r="F22" s="1"/>
  <c r="F44" s="1"/>
  <c r="D26" i="4"/>
  <c r="D26" i="3"/>
  <c r="F25" i="1"/>
  <c r="F175" s="1"/>
  <c r="D9" i="2"/>
  <c r="D6" s="1"/>
  <c r="D27"/>
  <c r="D9" i="1"/>
  <c r="D6" s="1"/>
  <c r="F10" i="11"/>
  <c r="F25" i="2"/>
  <c r="F22" s="1"/>
  <c r="F44" s="1"/>
  <c r="D26"/>
  <c r="F9" i="26"/>
  <c r="F6" s="1"/>
  <c r="G28"/>
  <c r="G174" s="1"/>
  <c r="F12" i="11"/>
  <c r="H12"/>
  <c r="E22" i="26"/>
  <c r="E44" s="1"/>
  <c r="E22" i="27"/>
  <c r="E44" s="1"/>
  <c r="G24"/>
  <c r="I8" i="11"/>
  <c r="F24" i="26"/>
  <c r="G8" i="11"/>
  <c r="G8" i="29" s="1"/>
  <c r="J154" i="20"/>
  <c r="E154" s="1"/>
  <c r="N143"/>
  <c r="N180" s="1"/>
  <c r="N32"/>
  <c r="M42"/>
  <c r="M34"/>
  <c r="J37"/>
  <c r="G28"/>
  <c r="G174" s="1"/>
  <c r="D21"/>
  <c r="F24"/>
  <c r="D17"/>
  <c r="N40" i="26"/>
  <c r="J40" s="1"/>
  <c r="N30"/>
  <c r="J30" s="1"/>
  <c r="F8" i="28"/>
  <c r="D8" i="27"/>
  <c r="F24"/>
  <c r="H50" i="28"/>
  <c r="D50" s="1"/>
  <c r="D50" i="27"/>
  <c r="D28" i="1"/>
  <c r="H47" i="28"/>
  <c r="H46" s="1"/>
  <c r="L8"/>
  <c r="L24" i="27"/>
  <c r="J57" i="20"/>
  <c r="D146"/>
  <c r="J8"/>
  <c r="G24"/>
  <c r="D8"/>
  <c r="G27"/>
  <c r="G18"/>
  <c r="G15" s="1"/>
  <c r="D20"/>
  <c r="D18" s="1"/>
  <c r="F28"/>
  <c r="F174" s="1"/>
  <c r="D12"/>
  <c r="F6" i="27"/>
  <c r="E59" i="28"/>
  <c r="D59" s="1"/>
  <c r="F47"/>
  <c r="F46" s="1"/>
  <c r="F19"/>
  <c r="F18" i="27"/>
  <c r="F15" s="1"/>
  <c r="D10" i="28"/>
  <c r="G47"/>
  <c r="G12"/>
  <c r="G6" i="27"/>
  <c r="H12" i="28"/>
  <c r="D13" i="27"/>
  <c r="H8" i="28"/>
  <c r="H6" s="1"/>
  <c r="H24" i="27"/>
  <c r="H175" s="1"/>
  <c r="K158" i="28"/>
  <c r="J158" s="1"/>
  <c r="J158" i="27"/>
  <c r="N12" i="28"/>
  <c r="N28" i="27"/>
  <c r="N174" s="1"/>
  <c r="E146" i="30"/>
  <c r="F17"/>
  <c r="F17" i="28"/>
  <c r="D17" s="1"/>
  <c r="D17" i="27"/>
  <c r="H50" i="30"/>
  <c r="D50" s="1"/>
  <c r="G71" i="27"/>
  <c r="K8" i="29"/>
  <c r="K6" s="1"/>
  <c r="K8" i="28"/>
  <c r="J8" i="27"/>
  <c r="J6" s="1"/>
  <c r="M12" i="29"/>
  <c r="M28" i="11"/>
  <c r="M174" s="1"/>
  <c r="M12" i="28"/>
  <c r="M28" s="1"/>
  <c r="M174" s="1"/>
  <c r="M28" i="27"/>
  <c r="M174" s="1"/>
  <c r="N17" i="30"/>
  <c r="N24" s="1"/>
  <c r="N175" s="1"/>
  <c r="N146"/>
  <c r="J6" i="1"/>
  <c r="D25" i="12"/>
  <c r="K22" i="1"/>
  <c r="K44" s="1"/>
  <c r="I144" i="20"/>
  <c r="I144" i="32" s="1"/>
  <c r="F147" i="20"/>
  <c r="O22" i="26"/>
  <c r="O44" s="1"/>
  <c r="J18"/>
  <c r="J15" s="1"/>
  <c r="J6"/>
  <c r="G15"/>
  <c r="E24" i="28"/>
  <c r="D53"/>
  <c r="F11"/>
  <c r="D11" s="1"/>
  <c r="D11" i="27"/>
  <c r="D9" s="1"/>
  <c r="G14" i="28"/>
  <c r="D14" i="27"/>
  <c r="G29"/>
  <c r="G176" s="1"/>
  <c r="D176" s="1"/>
  <c r="I47" i="28"/>
  <c r="I46" s="1"/>
  <c r="I8"/>
  <c r="I24" s="1"/>
  <c r="I175" s="1"/>
  <c r="I24" i="27"/>
  <c r="I175" s="1"/>
  <c r="K147" i="28"/>
  <c r="L89"/>
  <c r="J89" s="1"/>
  <c r="J89" i="27"/>
  <c r="M73" i="28"/>
  <c r="J73" i="27"/>
  <c r="M71" i="28"/>
  <c r="J71" i="27"/>
  <c r="K64" i="28"/>
  <c r="J64" s="1"/>
  <c r="J64" i="27"/>
  <c r="K65" i="28"/>
  <c r="J65" s="1"/>
  <c r="J65" i="27"/>
  <c r="L59" i="28"/>
  <c r="N49"/>
  <c r="J49" i="27"/>
  <c r="L52" i="28"/>
  <c r="J52" s="1"/>
  <c r="J52" i="27"/>
  <c r="K47" i="28"/>
  <c r="O47"/>
  <c r="O46" s="1"/>
  <c r="L37"/>
  <c r="L34" i="27"/>
  <c r="J37"/>
  <c r="N38" i="28"/>
  <c r="J38" s="1"/>
  <c r="O33" i="27"/>
  <c r="O173" s="1"/>
  <c r="N34"/>
  <c r="L20" i="28"/>
  <c r="L18" i="27"/>
  <c r="L15" s="1"/>
  <c r="L27"/>
  <c r="J27" s="1"/>
  <c r="M20" i="28"/>
  <c r="M18" i="27"/>
  <c r="K17" i="28"/>
  <c r="J17" i="27"/>
  <c r="J15" s="1"/>
  <c r="O17" i="28"/>
  <c r="O15" i="27"/>
  <c r="L10" i="28"/>
  <c r="L9" s="1"/>
  <c r="L9" i="27"/>
  <c r="L26"/>
  <c r="J26" s="1"/>
  <c r="L28" i="28"/>
  <c r="L174" s="1"/>
  <c r="J59" i="26"/>
  <c r="J40" i="1"/>
  <c r="N39"/>
  <c r="J39" s="1"/>
  <c r="J18"/>
  <c r="D18"/>
  <c r="L39" i="12"/>
  <c r="J15"/>
  <c r="L39" i="19"/>
  <c r="J27"/>
  <c r="J15"/>
  <c r="D18" i="12"/>
  <c r="D15" s="1"/>
  <c r="D65" i="20"/>
  <c r="I143" i="1"/>
  <c r="I180" s="1"/>
  <c r="E143" i="19"/>
  <c r="F180" s="1"/>
  <c r="D180" s="1"/>
  <c r="M143"/>
  <c r="M180" s="1"/>
  <c r="M18"/>
  <c r="M15" s="1"/>
  <c r="M28"/>
  <c r="M174" s="1"/>
  <c r="M31"/>
  <c r="M171" s="1"/>
  <c r="N143"/>
  <c r="N180" s="1"/>
  <c r="N32"/>
  <c r="N172" s="1"/>
  <c r="J172" s="1"/>
  <c r="H143" i="20"/>
  <c r="H180" s="1"/>
  <c r="M31"/>
  <c r="M171" s="1"/>
  <c r="M170" s="1"/>
  <c r="I24"/>
  <c r="G18" i="19"/>
  <c r="G15" s="1"/>
  <c r="G28"/>
  <c r="G174" s="1"/>
  <c r="F9"/>
  <c r="F28"/>
  <c r="F174" s="1"/>
  <c r="E147" i="20"/>
  <c r="E147" i="32" s="1"/>
  <c r="G147" i="20"/>
  <c r="D146" i="26"/>
  <c r="D59"/>
  <c r="O42"/>
  <c r="O39" s="1"/>
  <c r="L42"/>
  <c r="J37"/>
  <c r="F27"/>
  <c r="D27" s="1"/>
  <c r="D26"/>
  <c r="N24"/>
  <c r="N175" s="1"/>
  <c r="M29"/>
  <c r="M176" s="1"/>
  <c r="J176" s="1"/>
  <c r="K24"/>
  <c r="K22" s="1"/>
  <c r="K44" s="1"/>
  <c r="L18"/>
  <c r="L15" s="1"/>
  <c r="D21"/>
  <c r="D20"/>
  <c r="D18" s="1"/>
  <c r="D17"/>
  <c r="K6"/>
  <c r="E6"/>
  <c r="G25"/>
  <c r="D11"/>
  <c r="D9" s="1"/>
  <c r="F28"/>
  <c r="F174" s="1"/>
  <c r="F18"/>
  <c r="G24"/>
  <c r="G175" s="1"/>
  <c r="L23" i="1"/>
  <c r="L175" s="1"/>
  <c r="J175" s="1"/>
  <c r="D146" i="27"/>
  <c r="D83"/>
  <c r="D65"/>
  <c r="D59"/>
  <c r="D58"/>
  <c r="D47"/>
  <c r="F143"/>
  <c r="F180" s="1"/>
  <c r="J29"/>
  <c r="F26"/>
  <c r="D26" s="1"/>
  <c r="K24"/>
  <c r="J24" s="1"/>
  <c r="F28"/>
  <c r="F174" s="1"/>
  <c r="D21"/>
  <c r="D19"/>
  <c r="D18" s="1"/>
  <c r="M6"/>
  <c r="D12"/>
  <c r="D6" s="1"/>
  <c r="G24" i="1"/>
  <c r="G24" i="28"/>
  <c r="N24" i="11"/>
  <c r="N31"/>
  <c r="L28"/>
  <c r="L174" s="1"/>
  <c r="N15" i="29"/>
  <c r="G8" i="30"/>
  <c r="M8"/>
  <c r="L39" i="27"/>
  <c r="O22"/>
  <c r="D27"/>
  <c r="N22"/>
  <c r="I22"/>
  <c r="I15"/>
  <c r="N6"/>
  <c r="K6"/>
  <c r="H6"/>
  <c r="D21" i="28"/>
  <c r="M143"/>
  <c r="M180" s="1"/>
  <c r="H50" i="20"/>
  <c r="H50" i="32" s="1"/>
  <c r="G53" i="11"/>
  <c r="E65"/>
  <c r="E59"/>
  <c r="E8"/>
  <c r="F146"/>
  <c r="F47"/>
  <c r="F46" s="1"/>
  <c r="F19"/>
  <c r="F11"/>
  <c r="F8"/>
  <c r="G71"/>
  <c r="G12"/>
  <c r="G17"/>
  <c r="H8"/>
  <c r="H6" s="1"/>
  <c r="I47"/>
  <c r="I46" s="1"/>
  <c r="I17"/>
  <c r="L8"/>
  <c r="L10"/>
  <c r="N12"/>
  <c r="M17"/>
  <c r="L20"/>
  <c r="L36"/>
  <c r="K47"/>
  <c r="O47"/>
  <c r="O46" s="1"/>
  <c r="M52"/>
  <c r="K65"/>
  <c r="N73"/>
  <c r="N73" i="29" s="1"/>
  <c r="L89" i="11"/>
  <c r="M146"/>
  <c r="M147"/>
  <c r="N158"/>
  <c r="J15" i="1"/>
  <c r="D15"/>
  <c r="J6" i="12"/>
  <c r="O30"/>
  <c r="O22"/>
  <c r="M22"/>
  <c r="M44" s="1"/>
  <c r="O30" i="19"/>
  <c r="O22"/>
  <c r="I22" i="1"/>
  <c r="F22" i="12"/>
  <c r="F44" s="1"/>
  <c r="G22"/>
  <c r="K22" i="8"/>
  <c r="K44" s="1"/>
  <c r="J25"/>
  <c r="N25" i="11"/>
  <c r="M6"/>
  <c r="N25" i="12"/>
  <c r="J25" s="1"/>
  <c r="K22"/>
  <c r="K44" s="1"/>
  <c r="M6"/>
  <c r="I25" i="19"/>
  <c r="I22" s="1"/>
  <c r="E25"/>
  <c r="K22"/>
  <c r="K44" s="1"/>
  <c r="E22"/>
  <c r="E44" s="1"/>
  <c r="M6"/>
  <c r="G6"/>
  <c r="I25" i="20"/>
  <c r="E25"/>
  <c r="E22" s="1"/>
  <c r="E44" s="1"/>
  <c r="G6"/>
  <c r="J6" i="4"/>
  <c r="J15"/>
  <c r="J25" i="3"/>
  <c r="K22"/>
  <c r="K44" s="1"/>
  <c r="J6" i="10"/>
  <c r="M22" i="18"/>
  <c r="M44" s="1"/>
  <c r="O22"/>
  <c r="J25" i="6"/>
  <c r="J25" i="10"/>
  <c r="J25" i="15"/>
  <c r="O30" i="1"/>
  <c r="J30" s="1"/>
  <c r="N22" i="12"/>
  <c r="N44" s="1"/>
  <c r="L22"/>
  <c r="L44" s="1"/>
  <c r="N22" i="19"/>
  <c r="H22"/>
  <c r="O30" i="20"/>
  <c r="F22" i="1"/>
  <c r="F44" s="1"/>
  <c r="H22"/>
  <c r="H22" i="12"/>
  <c r="I22"/>
  <c r="N22" i="1"/>
  <c r="N44" s="1"/>
  <c r="K151" i="10"/>
  <c r="K161" i="13"/>
  <c r="K155"/>
  <c r="K151" i="15"/>
  <c r="O151"/>
  <c r="J25" i="18"/>
  <c r="J23" i="11"/>
  <c r="J29" i="12"/>
  <c r="J23"/>
  <c r="D29" i="19"/>
  <c r="D28"/>
  <c r="J23"/>
  <c r="D23"/>
  <c r="J23" i="20"/>
  <c r="D23"/>
  <c r="E22" i="1"/>
  <c r="E44" s="1"/>
  <c r="E22" i="12"/>
  <c r="E44" s="1"/>
  <c r="K22" i="18"/>
  <c r="K44" s="1"/>
  <c r="J25" i="4"/>
  <c r="G143" i="20"/>
  <c r="G180" s="1"/>
  <c r="O24"/>
  <c r="O175" s="1"/>
  <c r="D25" i="3"/>
  <c r="D25" i="4"/>
  <c r="D25" i="15"/>
  <c r="E22" i="18"/>
  <c r="E44" s="1"/>
  <c r="D25"/>
  <c r="I22"/>
  <c r="L39" i="3"/>
  <c r="J39" s="1"/>
  <c r="I22" i="2"/>
  <c r="E22"/>
  <c r="E44" s="1"/>
  <c r="H22"/>
  <c r="L22" i="3"/>
  <c r="L44" s="1"/>
  <c r="N22"/>
  <c r="N44" s="1"/>
  <c r="O22"/>
  <c r="L22" i="4"/>
  <c r="L44" s="1"/>
  <c r="N22"/>
  <c r="N44" s="1"/>
  <c r="O22"/>
  <c r="J39" i="6"/>
  <c r="L22"/>
  <c r="L44" s="1"/>
  <c r="M22"/>
  <c r="M44" s="1"/>
  <c r="N22"/>
  <c r="N44" s="1"/>
  <c r="L39" i="10"/>
  <c r="J39" s="1"/>
  <c r="L22"/>
  <c r="N22"/>
  <c r="L22" i="15"/>
  <c r="L44" s="1"/>
  <c r="N22"/>
  <c r="N44" s="1"/>
  <c r="D6" i="3"/>
  <c r="D6" i="4"/>
  <c r="D6" i="13"/>
  <c r="D6" i="15"/>
  <c r="N24" i="20"/>
  <c r="N175" s="1"/>
  <c r="O30" i="3"/>
  <c r="O30" i="4"/>
  <c r="L22" i="1"/>
  <c r="L44" s="1"/>
  <c r="O22"/>
  <c r="O44" s="1"/>
  <c r="F25" i="26"/>
  <c r="D25" s="1"/>
  <c r="F15"/>
  <c r="E22" i="3"/>
  <c r="E44" s="1"/>
  <c r="F22"/>
  <c r="F44" s="1"/>
  <c r="I22" i="4"/>
  <c r="E22" i="6"/>
  <c r="E44" s="1"/>
  <c r="I22" i="8"/>
  <c r="F22"/>
  <c r="F44" s="1"/>
  <c r="I22" i="10"/>
  <c r="F22"/>
  <c r="F44" s="1"/>
  <c r="E22" i="15"/>
  <c r="E44" s="1"/>
  <c r="H22"/>
  <c r="F22" i="18"/>
  <c r="F44" s="1"/>
  <c r="H22" i="26"/>
  <c r="D143"/>
  <c r="I22" i="3"/>
  <c r="H22"/>
  <c r="E22" i="4"/>
  <c r="E44" s="1"/>
  <c r="H22"/>
  <c r="I22" i="6"/>
  <c r="E22" i="8"/>
  <c r="E44" s="1"/>
  <c r="E22" i="10"/>
  <c r="E44" s="1"/>
  <c r="I22" i="15"/>
  <c r="H22" i="18"/>
  <c r="E143" i="28"/>
  <c r="F28"/>
  <c r="F174" s="1"/>
  <c r="D12"/>
  <c r="F18"/>
  <c r="F15" s="1"/>
  <c r="D19"/>
  <c r="O33"/>
  <c r="O173" s="1"/>
  <c r="N34"/>
  <c r="N43"/>
  <c r="J43" s="1"/>
  <c r="J10"/>
  <c r="J9" s="1"/>
  <c r="L26"/>
  <c r="J26" s="1"/>
  <c r="N13"/>
  <c r="J13" s="1"/>
  <c r="N28"/>
  <c r="N174" s="1"/>
  <c r="N58"/>
  <c r="J58" s="1"/>
  <c r="L6"/>
  <c r="L24"/>
  <c r="J23" i="26"/>
  <c r="D23"/>
  <c r="H15"/>
  <c r="J23" i="27"/>
  <c r="D23"/>
  <c r="J23" i="28"/>
  <c r="D23"/>
  <c r="E22"/>
  <c r="E44" s="1"/>
  <c r="H24"/>
  <c r="H175" s="1"/>
  <c r="K15"/>
  <c r="O15"/>
  <c r="N6"/>
  <c r="L34"/>
  <c r="L41"/>
  <c r="N32"/>
  <c r="M42"/>
  <c r="J8"/>
  <c r="K6"/>
  <c r="E147" i="29"/>
  <c r="J31" i="26"/>
  <c r="J31" i="27"/>
  <c r="H15" i="28"/>
  <c r="M6"/>
  <c r="I22"/>
  <c r="L27"/>
  <c r="M24"/>
  <c r="O24"/>
  <c r="O175" s="1"/>
  <c r="H71" i="30"/>
  <c r="H73"/>
  <c r="F27" i="28"/>
  <c r="F26"/>
  <c r="D26" s="1"/>
  <c r="E15"/>
  <c r="H13"/>
  <c r="D13" s="1"/>
  <c r="I6"/>
  <c r="E6"/>
  <c r="D8"/>
  <c r="H25" i="29"/>
  <c r="J23"/>
  <c r="D23"/>
  <c r="E22" i="13"/>
  <c r="E44" s="1"/>
  <c r="I22"/>
  <c r="H25"/>
  <c r="H175" s="1"/>
  <c r="H25" i="10"/>
  <c r="H175" s="1"/>
  <c r="H25" i="8"/>
  <c r="D25" s="1"/>
  <c r="H25" i="6"/>
  <c r="H175" s="1"/>
  <c r="J23" i="30"/>
  <c r="D175" i="13" l="1"/>
  <c r="O44" i="3"/>
  <c r="N175" i="11"/>
  <c r="I175" i="20"/>
  <c r="E46" i="11"/>
  <c r="E143" i="29"/>
  <c r="I175" i="19"/>
  <c r="N58" i="33"/>
  <c r="J58" s="1"/>
  <c r="N28"/>
  <c r="N174" s="1"/>
  <c r="M29"/>
  <c r="J14"/>
  <c r="J53" i="32"/>
  <c r="M53" i="33"/>
  <c r="J53" s="1"/>
  <c r="L24"/>
  <c r="J8"/>
  <c r="M24"/>
  <c r="N6"/>
  <c r="N15" i="32"/>
  <c r="N17" i="33"/>
  <c r="N15" s="1"/>
  <c r="J57" i="32"/>
  <c r="N57" i="33"/>
  <c r="J57" s="1"/>
  <c r="M143"/>
  <c r="M180" s="1"/>
  <c r="K161"/>
  <c r="E46" i="28"/>
  <c r="I46" i="27"/>
  <c r="G46"/>
  <c r="J144" i="33"/>
  <c r="O143"/>
  <c r="O180" s="1"/>
  <c r="M169" i="6"/>
  <c r="D174" i="2"/>
  <c r="H175" i="8"/>
  <c r="D175" s="1"/>
  <c r="L169" i="4"/>
  <c r="J174"/>
  <c r="J174" i="3"/>
  <c r="L169"/>
  <c r="L175" i="8"/>
  <c r="O44" i="6"/>
  <c r="M175" i="3"/>
  <c r="J175" s="1"/>
  <c r="D174" i="15"/>
  <c r="D169" s="1"/>
  <c r="F169"/>
  <c r="D174" i="8"/>
  <c r="F169"/>
  <c r="D174" i="4"/>
  <c r="D169" s="1"/>
  <c r="F169"/>
  <c r="L175" i="13"/>
  <c r="N169" i="8"/>
  <c r="N177" s="1"/>
  <c r="N178" s="1"/>
  <c r="J174" i="6"/>
  <c r="L169"/>
  <c r="L177" s="1"/>
  <c r="L178" s="1"/>
  <c r="J170" i="4"/>
  <c r="O175" i="8"/>
  <c r="O169" s="1"/>
  <c r="O177" s="1"/>
  <c r="O178" s="1"/>
  <c r="O175" i="6"/>
  <c r="J175" s="1"/>
  <c r="O44" i="4"/>
  <c r="G46" i="11"/>
  <c r="N150" i="31"/>
  <c r="H46" i="11"/>
  <c r="L41" i="33"/>
  <c r="L34"/>
  <c r="M31"/>
  <c r="J36"/>
  <c r="L42"/>
  <c r="J37"/>
  <c r="N31"/>
  <c r="N32"/>
  <c r="M42"/>
  <c r="M34"/>
  <c r="J38"/>
  <c r="N34"/>
  <c r="O33"/>
  <c r="N43"/>
  <c r="J43" s="1"/>
  <c r="J21"/>
  <c r="O6"/>
  <c r="L9"/>
  <c r="L6" s="1"/>
  <c r="J10"/>
  <c r="J11"/>
  <c r="M169" i="15"/>
  <c r="M177" s="1"/>
  <c r="M178" s="1"/>
  <c r="D174" i="3"/>
  <c r="D169" s="1"/>
  <c r="F169"/>
  <c r="F175" i="6"/>
  <c r="D175" s="1"/>
  <c r="O175" i="15"/>
  <c r="O169" s="1"/>
  <c r="O177" s="1"/>
  <c r="O178" s="1"/>
  <c r="M169" i="13"/>
  <c r="J170"/>
  <c r="J170" i="8"/>
  <c r="N177" i="3"/>
  <c r="N178"/>
  <c r="M175" i="8"/>
  <c r="M169" s="1"/>
  <c r="M177" s="1"/>
  <c r="M178" s="1"/>
  <c r="M175" i="4"/>
  <c r="M169" s="1"/>
  <c r="M177" s="1"/>
  <c r="M178" s="1"/>
  <c r="D174" i="13"/>
  <c r="D169" s="1"/>
  <c r="F169"/>
  <c r="D174" i="6"/>
  <c r="D169" s="1"/>
  <c r="F169"/>
  <c r="F46" i="27"/>
  <c r="D46" s="1"/>
  <c r="D46" i="12"/>
  <c r="O169" i="13"/>
  <c r="J174" i="8"/>
  <c r="L169"/>
  <c r="J170" i="3"/>
  <c r="M169"/>
  <c r="M177" s="1"/>
  <c r="M178" s="1"/>
  <c r="F175" i="2"/>
  <c r="D175" s="1"/>
  <c r="M46" i="31"/>
  <c r="J28" i="19"/>
  <c r="M24" i="20"/>
  <c r="J17"/>
  <c r="M29"/>
  <c r="M176" s="1"/>
  <c r="J176" s="1"/>
  <c r="J33"/>
  <c r="J53"/>
  <c r="L6"/>
  <c r="N6"/>
  <c r="D174" i="18"/>
  <c r="D169" s="1"/>
  <c r="F169"/>
  <c r="J174"/>
  <c r="L46" i="31"/>
  <c r="N44" i="18"/>
  <c r="O44"/>
  <c r="M169"/>
  <c r="N169"/>
  <c r="N177" s="1"/>
  <c r="L175"/>
  <c r="J175" s="1"/>
  <c r="I46" i="20"/>
  <c r="D46" s="1"/>
  <c r="N178" i="18"/>
  <c r="O169"/>
  <c r="J170"/>
  <c r="O45" i="15"/>
  <c r="O170" i="19"/>
  <c r="O169" s="1"/>
  <c r="J170" i="15"/>
  <c r="N178"/>
  <c r="L22" i="19"/>
  <c r="L44" s="1"/>
  <c r="J175" i="15"/>
  <c r="J169" s="1"/>
  <c r="L169"/>
  <c r="L177" s="1"/>
  <c r="O147" i="30"/>
  <c r="L46" i="20"/>
  <c r="J46" i="19"/>
  <c r="K46" i="31"/>
  <c r="G46"/>
  <c r="D46" s="1"/>
  <c r="K45" i="15"/>
  <c r="K163" s="1"/>
  <c r="K45" i="10"/>
  <c r="K163" s="1"/>
  <c r="K45" i="6"/>
  <c r="K163" s="1"/>
  <c r="K163" i="13"/>
  <c r="D15" i="27"/>
  <c r="J169" i="1"/>
  <c r="D180"/>
  <c r="J59" i="31"/>
  <c r="O44" i="19"/>
  <c r="F169" i="1"/>
  <c r="D174" i="27"/>
  <c r="D174" i="26"/>
  <c r="J174" i="28"/>
  <c r="J174" i="27"/>
  <c r="O177" i="19"/>
  <c r="O178" s="1"/>
  <c r="M175" i="26"/>
  <c r="L180" i="31"/>
  <c r="N169" i="1"/>
  <c r="N177" s="1"/>
  <c r="N178" s="1"/>
  <c r="N170" i="19"/>
  <c r="N169" s="1"/>
  <c r="O169" i="1"/>
  <c r="O177" s="1"/>
  <c r="O178" s="1"/>
  <c r="L169"/>
  <c r="O169" i="26"/>
  <c r="J180" i="19"/>
  <c r="J173" i="28"/>
  <c r="O170"/>
  <c r="O169" s="1"/>
  <c r="D174" i="19"/>
  <c r="J171"/>
  <c r="M170"/>
  <c r="J174" i="26"/>
  <c r="L169" i="19"/>
  <c r="J174"/>
  <c r="J170" i="1"/>
  <c r="M169"/>
  <c r="M177" s="1"/>
  <c r="M178" s="1"/>
  <c r="M169" i="26"/>
  <c r="F175"/>
  <c r="D175" s="1"/>
  <c r="F180" i="28"/>
  <c r="D180" i="26"/>
  <c r="O169" i="12"/>
  <c r="O177" s="1"/>
  <c r="N175"/>
  <c r="M175" i="10"/>
  <c r="J175" s="1"/>
  <c r="J174"/>
  <c r="L169"/>
  <c r="L177" s="1"/>
  <c r="L178" s="1"/>
  <c r="N169"/>
  <c r="N177" s="1"/>
  <c r="O177"/>
  <c r="O178" s="1"/>
  <c r="J170"/>
  <c r="J39" i="12"/>
  <c r="D175" i="10"/>
  <c r="D174"/>
  <c r="F169"/>
  <c r="D175" i="12"/>
  <c r="F169"/>
  <c r="E47" i="29"/>
  <c r="H47"/>
  <c r="H46" s="1"/>
  <c r="D169" i="12"/>
  <c r="K47" i="29"/>
  <c r="I47"/>
  <c r="I46" s="1"/>
  <c r="F47"/>
  <c r="G47"/>
  <c r="M143" i="32"/>
  <c r="M180" s="1"/>
  <c r="N44" i="10"/>
  <c r="O44"/>
  <c r="L44"/>
  <c r="M44"/>
  <c r="J83" i="11"/>
  <c r="J83" i="28"/>
  <c r="N71" i="29"/>
  <c r="N71" i="33"/>
  <c r="M71"/>
  <c r="J71" i="28"/>
  <c r="J175" i="12"/>
  <c r="J169" s="1"/>
  <c r="L169"/>
  <c r="L177" s="1"/>
  <c r="M44" i="8"/>
  <c r="M151" s="1"/>
  <c r="M45" s="1"/>
  <c r="N44"/>
  <c r="N151" s="1"/>
  <c r="N45" s="1"/>
  <c r="L44"/>
  <c r="O44"/>
  <c r="D144" i="29"/>
  <c r="I144" i="30"/>
  <c r="D144" s="1"/>
  <c r="J30" i="12"/>
  <c r="O44"/>
  <c r="J173" i="27"/>
  <c r="O170"/>
  <c r="O169" s="1"/>
  <c r="J173" i="11"/>
  <c r="O170"/>
  <c r="J173" i="20"/>
  <c r="O170"/>
  <c r="O169" s="1"/>
  <c r="O177" s="1"/>
  <c r="O178" s="1"/>
  <c r="N171" i="11"/>
  <c r="N171" i="20"/>
  <c r="J171" s="1"/>
  <c r="J171" i="27"/>
  <c r="O47" i="29"/>
  <c r="O46" s="1"/>
  <c r="L47"/>
  <c r="L178" i="12"/>
  <c r="J39" i="4"/>
  <c r="J34" i="20"/>
  <c r="N30" i="27"/>
  <c r="N44" s="1"/>
  <c r="I47" i="32"/>
  <c r="D29" i="27"/>
  <c r="O24" i="11"/>
  <c r="O175" s="1"/>
  <c r="D47" i="20"/>
  <c r="D47" i="28"/>
  <c r="F47" i="32"/>
  <c r="F46" s="1"/>
  <c r="E152" i="13"/>
  <c r="E159"/>
  <c r="E162"/>
  <c r="E159" i="8"/>
  <c r="E152"/>
  <c r="E162"/>
  <c r="E152" i="6"/>
  <c r="E159"/>
  <c r="E162"/>
  <c r="N159" i="15"/>
  <c r="L159" i="10"/>
  <c r="N159" i="6"/>
  <c r="L159"/>
  <c r="L159" i="4"/>
  <c r="N159" i="3"/>
  <c r="K159" i="18"/>
  <c r="N159" i="12"/>
  <c r="O159" i="18"/>
  <c r="K159" i="19"/>
  <c r="K159" i="8"/>
  <c r="K152"/>
  <c r="K162"/>
  <c r="M159" i="12"/>
  <c r="M159" i="3"/>
  <c r="L159" i="8"/>
  <c r="M159" i="13"/>
  <c r="M159" i="4"/>
  <c r="M159" i="8"/>
  <c r="M152"/>
  <c r="N159" i="13"/>
  <c r="O159"/>
  <c r="M159" i="15"/>
  <c r="O159" i="6"/>
  <c r="K152" i="10"/>
  <c r="K159"/>
  <c r="K162"/>
  <c r="O159"/>
  <c r="O159" i="8"/>
  <c r="L159" i="18"/>
  <c r="E152" i="10"/>
  <c r="E159"/>
  <c r="E162"/>
  <c r="E159" i="4"/>
  <c r="E152"/>
  <c r="E162"/>
  <c r="E159" i="15"/>
  <c r="E152"/>
  <c r="E162"/>
  <c r="E152" i="3"/>
  <c r="E159"/>
  <c r="E162"/>
  <c r="L159" i="15"/>
  <c r="N159" i="10"/>
  <c r="M159" i="6"/>
  <c r="N159" i="4"/>
  <c r="L159" i="3"/>
  <c r="E152" i="18"/>
  <c r="E159"/>
  <c r="E162"/>
  <c r="E159" i="12"/>
  <c r="E152"/>
  <c r="E162"/>
  <c r="L159" i="19"/>
  <c r="L159" i="12"/>
  <c r="M159" i="18"/>
  <c r="K159" i="3"/>
  <c r="K162"/>
  <c r="K152"/>
  <c r="E159" i="19"/>
  <c r="E152"/>
  <c r="E162"/>
  <c r="K159" i="12"/>
  <c r="K152"/>
  <c r="K162"/>
  <c r="O159"/>
  <c r="N159" i="8"/>
  <c r="N152"/>
  <c r="K152" i="13"/>
  <c r="K159"/>
  <c r="K162"/>
  <c r="O159" i="15"/>
  <c r="O152"/>
  <c r="K159" i="4"/>
  <c r="K152"/>
  <c r="K162"/>
  <c r="M159" i="10"/>
  <c r="K159" i="15"/>
  <c r="K152"/>
  <c r="K162"/>
  <c r="K152" i="6"/>
  <c r="K159"/>
  <c r="K162"/>
  <c r="M143" i="20"/>
  <c r="M180" s="1"/>
  <c r="O159" i="3"/>
  <c r="E159" i="27"/>
  <c r="E162"/>
  <c r="E152"/>
  <c r="E159" i="2"/>
  <c r="E152"/>
  <c r="E162"/>
  <c r="E159" i="20"/>
  <c r="E152"/>
  <c r="E162"/>
  <c r="K159" i="1"/>
  <c r="K152"/>
  <c r="K162"/>
  <c r="D146" i="28"/>
  <c r="E162" i="1"/>
  <c r="E159"/>
  <c r="E152"/>
  <c r="E159" i="26"/>
  <c r="E162"/>
  <c r="E152"/>
  <c r="K159" i="11"/>
  <c r="K152"/>
  <c r="K162"/>
  <c r="L159" i="1"/>
  <c r="O151" i="26"/>
  <c r="O45" s="1"/>
  <c r="O159"/>
  <c r="O152"/>
  <c r="O159" i="1"/>
  <c r="N159"/>
  <c r="K160" i="15"/>
  <c r="O160"/>
  <c r="K160" i="13"/>
  <c r="K160" i="10"/>
  <c r="K153" i="6"/>
  <c r="M40" i="27"/>
  <c r="M6" i="20"/>
  <c r="J14"/>
  <c r="K160" i="6"/>
  <c r="E151" i="2"/>
  <c r="O6" i="11"/>
  <c r="O143" i="27"/>
  <c r="O180" s="1"/>
  <c r="J30" i="4"/>
  <c r="L151" i="8"/>
  <c r="L45" s="1"/>
  <c r="L151" i="18"/>
  <c r="O151" i="8"/>
  <c r="O45" s="1"/>
  <c r="N151" i="18"/>
  <c r="L83" i="29"/>
  <c r="J30" i="3"/>
  <c r="N43" i="11"/>
  <c r="J43" s="1"/>
  <c r="G73" i="29"/>
  <c r="N151" i="3"/>
  <c r="N45" s="1"/>
  <c r="M151"/>
  <c r="M45" s="1"/>
  <c r="L151"/>
  <c r="L45" s="1"/>
  <c r="M73" i="33"/>
  <c r="J71"/>
  <c r="D49" i="31"/>
  <c r="J73" i="28"/>
  <c r="H73"/>
  <c r="J49"/>
  <c r="N49" i="32"/>
  <c r="N49" i="33" s="1"/>
  <c r="J49" s="1"/>
  <c r="O143" i="28"/>
  <c r="O180" s="1"/>
  <c r="O150"/>
  <c r="N34" i="11"/>
  <c r="J39" i="15"/>
  <c r="J38" i="11"/>
  <c r="N38" i="29"/>
  <c r="G18" i="11"/>
  <c r="G25" s="1"/>
  <c r="D12" i="32"/>
  <c r="E17"/>
  <c r="D150" i="19"/>
  <c r="F89" i="32"/>
  <c r="D89" s="1"/>
  <c r="D77" i="20"/>
  <c r="D89"/>
  <c r="E15" i="11"/>
  <c r="I22" i="20"/>
  <c r="N151" i="6"/>
  <c r="N45" s="1"/>
  <c r="O151"/>
  <c r="O45" s="1"/>
  <c r="K161"/>
  <c r="K155"/>
  <c r="K157" s="1"/>
  <c r="D24" i="26"/>
  <c r="N143" i="31"/>
  <c r="N180" s="1"/>
  <c r="J150" i="12"/>
  <c r="J148" s="1"/>
  <c r="J64" i="32"/>
  <c r="O8" i="29"/>
  <c r="O6" s="1"/>
  <c r="O150" i="32"/>
  <c r="O150" i="33" s="1"/>
  <c r="N39" i="26"/>
  <c r="D6"/>
  <c r="K24" i="20"/>
  <c r="K22" s="1"/>
  <c r="K44" s="1"/>
  <c r="M151" i="4"/>
  <c r="M45" s="1"/>
  <c r="M150" i="32"/>
  <c r="M150" i="33" s="1"/>
  <c r="I146" i="32"/>
  <c r="D146" s="1"/>
  <c r="I150"/>
  <c r="I150" i="33" s="1"/>
  <c r="N150" i="32"/>
  <c r="N150" i="33" s="1"/>
  <c r="M151" i="15"/>
  <c r="J30" i="18"/>
  <c r="O30" i="11"/>
  <c r="J65" i="20"/>
  <c r="I143" i="31"/>
  <c r="I180" s="1"/>
  <c r="E151" i="26"/>
  <c r="E45" s="1"/>
  <c r="E151" i="27"/>
  <c r="E45" s="1"/>
  <c r="D29" i="1"/>
  <c r="D52" i="20"/>
  <c r="F22" i="26"/>
  <c r="F44" s="1"/>
  <c r="H15" i="11"/>
  <c r="H17" i="30"/>
  <c r="H15" s="1"/>
  <c r="H15" i="29"/>
  <c r="O151" i="13"/>
  <c r="L22"/>
  <c r="L44" s="1"/>
  <c r="E17" i="30"/>
  <c r="E15" s="1"/>
  <c r="E15" i="29"/>
  <c r="I143" i="28"/>
  <c r="I180" s="1"/>
  <c r="O47" i="32"/>
  <c r="L47"/>
  <c r="L47" i="28"/>
  <c r="L46" s="1"/>
  <c r="I146" i="29"/>
  <c r="O146"/>
  <c r="K47" i="32"/>
  <c r="D147" i="11"/>
  <c r="H47" i="32"/>
  <c r="H46" s="1"/>
  <c r="E47"/>
  <c r="E46" s="1"/>
  <c r="D144" i="11"/>
  <c r="G28" i="31"/>
  <c r="G174" s="1"/>
  <c r="D150" i="12"/>
  <c r="D148" s="1"/>
  <c r="G22" i="26"/>
  <c r="M22" i="1"/>
  <c r="M44" s="1"/>
  <c r="D24"/>
  <c r="N22" i="26"/>
  <c r="N44" s="1"/>
  <c r="N40" i="20"/>
  <c r="J65" i="31"/>
  <c r="L19" i="29"/>
  <c r="N57"/>
  <c r="D150" i="26"/>
  <c r="D148" s="1"/>
  <c r="D20" i="33"/>
  <c r="O143" i="32"/>
  <c r="O180" s="1"/>
  <c r="G73" i="31"/>
  <c r="D15" i="20"/>
  <c r="D24" i="19"/>
  <c r="O143" i="31"/>
  <c r="O180" s="1"/>
  <c r="J146"/>
  <c r="J47"/>
  <c r="L24" i="20"/>
  <c r="L15"/>
  <c r="N151" i="13"/>
  <c r="D146" i="31"/>
  <c r="E143"/>
  <c r="F180" s="1"/>
  <c r="D77"/>
  <c r="D47"/>
  <c r="D53"/>
  <c r="D20"/>
  <c r="D18" s="1"/>
  <c r="F18"/>
  <c r="F15" s="1"/>
  <c r="G27"/>
  <c r="G18"/>
  <c r="G25" s="1"/>
  <c r="D17"/>
  <c r="D15" s="1"/>
  <c r="E15"/>
  <c r="G29" i="20"/>
  <c r="G176" s="1"/>
  <c r="D176" s="1"/>
  <c r="D14"/>
  <c r="D14" i="31"/>
  <c r="G29"/>
  <c r="G176" s="1"/>
  <c r="D176" s="1"/>
  <c r="F26"/>
  <c r="D26" s="1"/>
  <c r="D10"/>
  <c r="F9"/>
  <c r="F6" s="1"/>
  <c r="H28"/>
  <c r="H174" s="1"/>
  <c r="D13"/>
  <c r="H28" i="20"/>
  <c r="H174" s="1"/>
  <c r="D174" s="1"/>
  <c r="D13"/>
  <c r="F27" i="31"/>
  <c r="D11"/>
  <c r="F28"/>
  <c r="F174" s="1"/>
  <c r="D12"/>
  <c r="D8"/>
  <c r="E6"/>
  <c r="E24"/>
  <c r="I6"/>
  <c r="I24"/>
  <c r="I175" s="1"/>
  <c r="F24"/>
  <c r="G6"/>
  <c r="G24"/>
  <c r="H24"/>
  <c r="H175" s="1"/>
  <c r="H6"/>
  <c r="G25" i="20"/>
  <c r="G175" s="1"/>
  <c r="F25"/>
  <c r="F22" s="1"/>
  <c r="F44" s="1"/>
  <c r="D27"/>
  <c r="G18" i="29"/>
  <c r="G25" s="1"/>
  <c r="D20"/>
  <c r="G20" i="30"/>
  <c r="G27" i="29"/>
  <c r="D28" i="27"/>
  <c r="G27" i="11"/>
  <c r="J28" i="27"/>
  <c r="H22"/>
  <c r="M158" i="32"/>
  <c r="M158" i="33" s="1"/>
  <c r="J73" i="32"/>
  <c r="J71"/>
  <c r="O52"/>
  <c r="J52"/>
  <c r="M31"/>
  <c r="M171" s="1"/>
  <c r="M170" s="1"/>
  <c r="L41"/>
  <c r="L34"/>
  <c r="J36"/>
  <c r="L42"/>
  <c r="N31"/>
  <c r="J37"/>
  <c r="M34"/>
  <c r="M42"/>
  <c r="N32"/>
  <c r="J38"/>
  <c r="N43"/>
  <c r="J43" s="1"/>
  <c r="N34"/>
  <c r="O33"/>
  <c r="O173" s="1"/>
  <c r="J21"/>
  <c r="M29"/>
  <c r="M176" s="1"/>
  <c r="J176" s="1"/>
  <c r="J14"/>
  <c r="N28"/>
  <c r="N174" s="1"/>
  <c r="N13"/>
  <c r="J13" s="1"/>
  <c r="J58"/>
  <c r="M28" i="20"/>
  <c r="M174" s="1"/>
  <c r="M12" i="32"/>
  <c r="L28" i="20"/>
  <c r="L174" s="1"/>
  <c r="J174" s="1"/>
  <c r="L12" i="32"/>
  <c r="L12" i="33" s="1"/>
  <c r="E147"/>
  <c r="E143" s="1"/>
  <c r="D144" i="32"/>
  <c r="I144" i="33"/>
  <c r="H147" i="32"/>
  <c r="H147" i="33" s="1"/>
  <c r="I147" i="32"/>
  <c r="I147" i="33" s="1"/>
  <c r="E143" i="32"/>
  <c r="E147" i="30"/>
  <c r="D147" s="1"/>
  <c r="D147" i="29"/>
  <c r="G147" i="32"/>
  <c r="F147"/>
  <c r="H146" i="33"/>
  <c r="F89"/>
  <c r="D89" s="1"/>
  <c r="D73" i="20"/>
  <c r="G73" i="32"/>
  <c r="H73"/>
  <c r="G71" i="33"/>
  <c r="D71" s="1"/>
  <c r="D71" i="32"/>
  <c r="D77" i="33"/>
  <c r="D77" i="32"/>
  <c r="D64" i="11"/>
  <c r="F64" i="29"/>
  <c r="E65" i="33"/>
  <c r="D65" s="1"/>
  <c r="D65" i="32"/>
  <c r="E64" i="33"/>
  <c r="F64" i="32"/>
  <c r="F64" i="33" s="1"/>
  <c r="I59" i="32"/>
  <c r="I59" i="33" s="1"/>
  <c r="E59"/>
  <c r="D59" i="32"/>
  <c r="H52"/>
  <c r="H52" i="33" s="1"/>
  <c r="F52" i="32"/>
  <c r="H49" i="33"/>
  <c r="D49" s="1"/>
  <c r="D49" i="32"/>
  <c r="D53"/>
  <c r="H50" i="33"/>
  <c r="D50" s="1"/>
  <c r="D50" i="32"/>
  <c r="G52"/>
  <c r="G52" i="33" s="1"/>
  <c r="D53"/>
  <c r="F47"/>
  <c r="F46" s="1"/>
  <c r="I47"/>
  <c r="I46" s="1"/>
  <c r="G47" i="32"/>
  <c r="G46" s="1"/>
  <c r="F18"/>
  <c r="F19" i="33"/>
  <c r="F26" s="1"/>
  <c r="D26" s="1"/>
  <c r="D19" i="32"/>
  <c r="D18" s="1"/>
  <c r="D21"/>
  <c r="F21" i="33"/>
  <c r="D21" s="1"/>
  <c r="G18"/>
  <c r="G25" s="1"/>
  <c r="G27"/>
  <c r="E17"/>
  <c r="D17" i="32"/>
  <c r="E15"/>
  <c r="I17" i="33"/>
  <c r="I15" s="1"/>
  <c r="I15" i="32"/>
  <c r="F15"/>
  <c r="F17" i="33"/>
  <c r="G17"/>
  <c r="G15" i="32"/>
  <c r="H15"/>
  <c r="H17" i="33"/>
  <c r="H15" s="1"/>
  <c r="G14"/>
  <c r="D14" i="32"/>
  <c r="G29"/>
  <c r="G176" s="1"/>
  <c r="D176" s="1"/>
  <c r="G28"/>
  <c r="G174" s="1"/>
  <c r="G12" i="33"/>
  <c r="G28" s="1"/>
  <c r="G174" s="1"/>
  <c r="H12"/>
  <c r="H28" i="32"/>
  <c r="H174" s="1"/>
  <c r="H13"/>
  <c r="D13" s="1"/>
  <c r="F11" i="33"/>
  <c r="F9" s="1"/>
  <c r="F27" i="32"/>
  <c r="D27" s="1"/>
  <c r="D11"/>
  <c r="D9" s="1"/>
  <c r="F28" i="33"/>
  <c r="F174" s="1"/>
  <c r="D10"/>
  <c r="F6" i="20"/>
  <c r="F9" i="32"/>
  <c r="F6" s="1"/>
  <c r="F8" i="33"/>
  <c r="F24" i="32"/>
  <c r="G24"/>
  <c r="G175" s="1"/>
  <c r="G8" i="33"/>
  <c r="G6" i="32"/>
  <c r="H8" i="33"/>
  <c r="H6" i="32"/>
  <c r="H24"/>
  <c r="H175" s="1"/>
  <c r="D8"/>
  <c r="E6"/>
  <c r="E8" i="33"/>
  <c r="E24" i="32"/>
  <c r="I24"/>
  <c r="I175" s="1"/>
  <c r="I8" i="33"/>
  <c r="I6" i="32"/>
  <c r="K143"/>
  <c r="J143" i="31"/>
  <c r="M20" i="32"/>
  <c r="M20" i="33" s="1"/>
  <c r="M18" i="20"/>
  <c r="M27"/>
  <c r="J27" s="1"/>
  <c r="L19" i="32"/>
  <c r="J19" i="20"/>
  <c r="L20" i="32"/>
  <c r="J20" i="20"/>
  <c r="M27" i="31"/>
  <c r="M18"/>
  <c r="M25" s="1"/>
  <c r="M175" s="1"/>
  <c r="J19"/>
  <c r="L18"/>
  <c r="L15" s="1"/>
  <c r="J20"/>
  <c r="L9" i="32"/>
  <c r="L6" s="1"/>
  <c r="J10"/>
  <c r="J11"/>
  <c r="L26" i="31"/>
  <c r="J26" s="1"/>
  <c r="L9"/>
  <c r="J10"/>
  <c r="L27"/>
  <c r="J11"/>
  <c r="O17" i="32"/>
  <c r="O15" i="20"/>
  <c r="K17" i="32"/>
  <c r="K24" s="1"/>
  <c r="K15" i="20"/>
  <c r="J17" i="31"/>
  <c r="K15"/>
  <c r="O24" i="32"/>
  <c r="O175" s="1"/>
  <c r="O6"/>
  <c r="O24" i="31"/>
  <c r="O175" s="1"/>
  <c r="O6"/>
  <c r="N6" i="32"/>
  <c r="N24"/>
  <c r="N175" s="1"/>
  <c r="M24"/>
  <c r="M6"/>
  <c r="L24"/>
  <c r="K6"/>
  <c r="J8"/>
  <c r="K6" i="31"/>
  <c r="J8"/>
  <c r="K24"/>
  <c r="L89" i="32"/>
  <c r="J89" i="20"/>
  <c r="J77" i="32"/>
  <c r="J21" i="20"/>
  <c r="J21" i="31"/>
  <c r="J14"/>
  <c r="M29"/>
  <c r="M176" s="1"/>
  <c r="J176" s="1"/>
  <c r="N6"/>
  <c r="N28"/>
  <c r="N174" s="1"/>
  <c r="J13"/>
  <c r="M28"/>
  <c r="M174" s="1"/>
  <c r="M6"/>
  <c r="L28"/>
  <c r="L174" s="1"/>
  <c r="J12"/>
  <c r="L6"/>
  <c r="N43"/>
  <c r="J43" s="1"/>
  <c r="N34"/>
  <c r="O33"/>
  <c r="O173" s="1"/>
  <c r="J38"/>
  <c r="M42"/>
  <c r="N32"/>
  <c r="N172" s="1"/>
  <c r="J172" s="1"/>
  <c r="M34"/>
  <c r="L42"/>
  <c r="J37"/>
  <c r="N31"/>
  <c r="N171" s="1"/>
  <c r="N170" s="1"/>
  <c r="N169" s="1"/>
  <c r="J36" i="20"/>
  <c r="L41"/>
  <c r="L39" s="1"/>
  <c r="M31" i="31"/>
  <c r="M171" s="1"/>
  <c r="L41"/>
  <c r="L34"/>
  <c r="J36"/>
  <c r="M151" i="13"/>
  <c r="M45" s="1"/>
  <c r="G147" i="28"/>
  <c r="G143" i="27"/>
  <c r="G180" s="1"/>
  <c r="D180" s="1"/>
  <c r="D147"/>
  <c r="G150" i="32"/>
  <c r="G150" i="33" s="1"/>
  <c r="H150" i="32"/>
  <c r="H150" i="33" s="1"/>
  <c r="O42" i="20"/>
  <c r="O39" s="1"/>
  <c r="L161" i="8"/>
  <c r="L162" s="1"/>
  <c r="L155"/>
  <c r="L157" s="1"/>
  <c r="G18" i="28"/>
  <c r="G27"/>
  <c r="D27" s="1"/>
  <c r="G73"/>
  <c r="D73" i="27"/>
  <c r="D59" i="20"/>
  <c r="D20" i="28"/>
  <c r="D18" s="1"/>
  <c r="D15" s="1"/>
  <c r="G25" i="27"/>
  <c r="G22" s="1"/>
  <c r="G15"/>
  <c r="G25" i="1"/>
  <c r="G175" s="1"/>
  <c r="D175" s="1"/>
  <c r="D169" s="1"/>
  <c r="O22" i="11"/>
  <c r="N150" i="28"/>
  <c r="M150"/>
  <c r="J36"/>
  <c r="M31"/>
  <c r="M171" s="1"/>
  <c r="N41" i="27"/>
  <c r="M30"/>
  <c r="J14" i="28"/>
  <c r="M29"/>
  <c r="M176" s="1"/>
  <c r="J176" s="1"/>
  <c r="N15" i="30"/>
  <c r="J23" i="1"/>
  <c r="L25" i="20"/>
  <c r="J12" i="28"/>
  <c r="J6" s="1"/>
  <c r="J29" i="20"/>
  <c r="N24" i="29"/>
  <c r="N175" s="1"/>
  <c r="D77" i="11"/>
  <c r="J34" i="28"/>
  <c r="L25" i="27"/>
  <c r="L22" s="1"/>
  <c r="L44" s="1"/>
  <c r="I143" i="11"/>
  <c r="I180" s="1"/>
  <c r="O158" i="29"/>
  <c r="O158" i="30" s="1"/>
  <c r="O158" i="20"/>
  <c r="K22" i="27"/>
  <c r="K44" s="1"/>
  <c r="N49" i="29"/>
  <c r="J49" i="11"/>
  <c r="O17" i="29"/>
  <c r="O24" s="1"/>
  <c r="O175" s="1"/>
  <c r="O15" i="11"/>
  <c r="L19" i="30"/>
  <c r="J19" s="1"/>
  <c r="J19" i="29"/>
  <c r="N15" i="11"/>
  <c r="L83" i="30"/>
  <c r="J83" i="29"/>
  <c r="D21" i="11"/>
  <c r="G21" i="30"/>
  <c r="D21" s="1"/>
  <c r="D21" i="29"/>
  <c r="K147"/>
  <c r="K143" i="11"/>
  <c r="K64" i="29"/>
  <c r="J64" i="11"/>
  <c r="L37" i="29"/>
  <c r="J37" i="11"/>
  <c r="L42"/>
  <c r="H57" i="29"/>
  <c r="D57" i="11"/>
  <c r="M53" i="29"/>
  <c r="J53" i="11"/>
  <c r="N38" i="30"/>
  <c r="N34" i="29"/>
  <c r="J9" i="20"/>
  <c r="J6" s="1"/>
  <c r="M37" i="29"/>
  <c r="N32" i="11"/>
  <c r="M34"/>
  <c r="M42"/>
  <c r="L11" i="29"/>
  <c r="J11" i="11"/>
  <c r="J33"/>
  <c r="O42"/>
  <c r="O39" s="1"/>
  <c r="L154" i="29"/>
  <c r="J64" i="20"/>
  <c r="L21" i="29"/>
  <c r="J21" i="11"/>
  <c r="M14" i="29"/>
  <c r="J14" i="11"/>
  <c r="M29"/>
  <c r="M176" s="1"/>
  <c r="J176" s="1"/>
  <c r="H49" i="29"/>
  <c r="D49" i="11"/>
  <c r="L158" i="29"/>
  <c r="L158" i="30" s="1"/>
  <c r="L158" i="20"/>
  <c r="N147" i="29"/>
  <c r="N143" i="11"/>
  <c r="N180" s="1"/>
  <c r="O144" i="29"/>
  <c r="O143" i="11"/>
  <c r="O180" s="1"/>
  <c r="J144"/>
  <c r="M71" i="29"/>
  <c r="J71" i="11"/>
  <c r="M20" i="29"/>
  <c r="M18" i="11"/>
  <c r="M25" s="1"/>
  <c r="M27"/>
  <c r="K17" i="29"/>
  <c r="K24" s="1"/>
  <c r="K15" i="11"/>
  <c r="G14" i="29"/>
  <c r="G29" i="11"/>
  <c r="G176" s="1"/>
  <c r="D176" s="1"/>
  <c r="D14"/>
  <c r="F89" i="29"/>
  <c r="D89" i="11"/>
  <c r="N57" i="30"/>
  <c r="J57" s="1"/>
  <c r="J57" i="29"/>
  <c r="O8" i="30"/>
  <c r="D52" i="11"/>
  <c r="D64" i="20"/>
  <c r="H146" i="29"/>
  <c r="H143" s="1"/>
  <c r="H180" s="1"/>
  <c r="H143" i="11"/>
  <c r="H180" s="1"/>
  <c r="G143"/>
  <c r="G180" s="1"/>
  <c r="G146" i="30"/>
  <c r="G143" s="1"/>
  <c r="G180" s="1"/>
  <c r="F83" i="29"/>
  <c r="D83" i="11"/>
  <c r="F22" i="4"/>
  <c r="F44" s="1"/>
  <c r="D6" i="20"/>
  <c r="F22" i="13"/>
  <c r="F44" s="1"/>
  <c r="D15" i="26"/>
  <c r="D25" i="2"/>
  <c r="F10" i="29"/>
  <c r="D10" i="11"/>
  <c r="F12" i="29"/>
  <c r="F28" i="11"/>
  <c r="F174" s="1"/>
  <c r="H12" i="29"/>
  <c r="H28" i="11"/>
  <c r="H174" s="1"/>
  <c r="D13"/>
  <c r="I8" i="29"/>
  <c r="I6" i="11"/>
  <c r="N158" i="29"/>
  <c r="N158" i="20"/>
  <c r="N158" i="32" s="1"/>
  <c r="N158" i="33" s="1"/>
  <c r="J158" i="11"/>
  <c r="M146" i="29"/>
  <c r="M143" i="11"/>
  <c r="M180" s="1"/>
  <c r="J73"/>
  <c r="L36" i="29"/>
  <c r="M31" i="11"/>
  <c r="M171" s="1"/>
  <c r="M170" s="1"/>
  <c r="L41"/>
  <c r="L34"/>
  <c r="J36"/>
  <c r="M17" i="29"/>
  <c r="J17" i="11"/>
  <c r="M15"/>
  <c r="M24"/>
  <c r="L10" i="29"/>
  <c r="L9" i="11"/>
  <c r="L6" s="1"/>
  <c r="J10"/>
  <c r="J9" s="1"/>
  <c r="L26"/>
  <c r="J26" s="1"/>
  <c r="I17" i="29"/>
  <c r="I15" i="11"/>
  <c r="I24"/>
  <c r="I175" s="1"/>
  <c r="H8" i="29"/>
  <c r="H24" i="11"/>
  <c r="H175" s="1"/>
  <c r="G12" i="29"/>
  <c r="D12" i="11"/>
  <c r="G6"/>
  <c r="G28"/>
  <c r="G174" s="1"/>
  <c r="F8" i="29"/>
  <c r="F24" i="11"/>
  <c r="F19" i="29"/>
  <c r="D19" i="11"/>
  <c r="D18" s="1"/>
  <c r="F18"/>
  <c r="F15" s="1"/>
  <c r="F26"/>
  <c r="D26" s="1"/>
  <c r="F146" i="29"/>
  <c r="F143" s="1"/>
  <c r="F180" s="1"/>
  <c r="F143" i="11"/>
  <c r="D146"/>
  <c r="E59" i="29"/>
  <c r="D59" i="11"/>
  <c r="G53" i="29"/>
  <c r="D53" i="11"/>
  <c r="D147" i="20"/>
  <c r="F25" i="19"/>
  <c r="F175" s="1"/>
  <c r="F6"/>
  <c r="J143"/>
  <c r="M27" i="28"/>
  <c r="M18"/>
  <c r="G29"/>
  <c r="G176" s="1"/>
  <c r="D176" s="1"/>
  <c r="D14"/>
  <c r="I143" i="20"/>
  <c r="I180" s="1"/>
  <c r="D144"/>
  <c r="M12" i="30"/>
  <c r="M28" i="29"/>
  <c r="M174" s="1"/>
  <c r="E143" i="30"/>
  <c r="H28" i="28"/>
  <c r="H174" s="1"/>
  <c r="H58"/>
  <c r="D58" s="1"/>
  <c r="G28"/>
  <c r="G174" s="1"/>
  <c r="D174" s="1"/>
  <c r="G6"/>
  <c r="D24" i="27"/>
  <c r="F24" i="28"/>
  <c r="M22" i="26"/>
  <c r="M44" s="1"/>
  <c r="D28"/>
  <c r="J42"/>
  <c r="M25" i="19"/>
  <c r="M175" s="1"/>
  <c r="J175" s="1"/>
  <c r="J17" i="28"/>
  <c r="J34" i="27"/>
  <c r="F9" i="28"/>
  <c r="F25" s="1"/>
  <c r="E143" i="20"/>
  <c r="D24"/>
  <c r="F143"/>
  <c r="M147" i="29"/>
  <c r="L89"/>
  <c r="J89" i="11"/>
  <c r="K65" i="29"/>
  <c r="J65" i="11"/>
  <c r="J52"/>
  <c r="L20" i="29"/>
  <c r="L18" i="11"/>
  <c r="J20"/>
  <c r="J18" s="1"/>
  <c r="L27"/>
  <c r="J27" s="1"/>
  <c r="N12" i="29"/>
  <c r="N28" i="11"/>
  <c r="N174" s="1"/>
  <c r="J174" s="1"/>
  <c r="N6"/>
  <c r="J13"/>
  <c r="J12"/>
  <c r="L8" i="29"/>
  <c r="L24" i="11"/>
  <c r="J8"/>
  <c r="G17" i="29"/>
  <c r="G24" i="11"/>
  <c r="G175" s="1"/>
  <c r="D17"/>
  <c r="G15"/>
  <c r="G71" i="29"/>
  <c r="D71" i="11"/>
  <c r="F11" i="29"/>
  <c r="F9" i="11"/>
  <c r="F27"/>
  <c r="D27" s="1"/>
  <c r="D11"/>
  <c r="D47"/>
  <c r="E8" i="29"/>
  <c r="E24" i="11"/>
  <c r="E6"/>
  <c r="D8"/>
  <c r="E65" i="29"/>
  <c r="D65" i="11"/>
  <c r="D48" i="20"/>
  <c r="D50"/>
  <c r="N40" i="11"/>
  <c r="J24" i="26"/>
  <c r="M30" i="20"/>
  <c r="J31"/>
  <c r="M40"/>
  <c r="N30" i="19"/>
  <c r="N44" s="1"/>
  <c r="N41"/>
  <c r="J32"/>
  <c r="J31"/>
  <c r="M40"/>
  <c r="M30"/>
  <c r="D143"/>
  <c r="D148" s="1"/>
  <c r="D143" i="1"/>
  <c r="M25" i="27"/>
  <c r="M175" s="1"/>
  <c r="M169" s="1"/>
  <c r="M15"/>
  <c r="J20" i="28"/>
  <c r="J18" s="1"/>
  <c r="L18"/>
  <c r="J33" i="27"/>
  <c r="O30"/>
  <c r="O42"/>
  <c r="N31" i="28"/>
  <c r="N171" s="1"/>
  <c r="J37"/>
  <c r="L42"/>
  <c r="L39" s="1"/>
  <c r="K143"/>
  <c r="D58" i="20"/>
  <c r="K8" i="30"/>
  <c r="J8" i="29"/>
  <c r="G71" i="28"/>
  <c r="D71" s="1"/>
  <c r="D71" i="27"/>
  <c r="J32" i="20"/>
  <c r="N30"/>
  <c r="N41"/>
  <c r="J27" i="28"/>
  <c r="D22" i="26"/>
  <c r="D44" s="1"/>
  <c r="D45" s="1"/>
  <c r="L25"/>
  <c r="L175" s="1"/>
  <c r="G25" i="19"/>
  <c r="D25" s="1"/>
  <c r="J29" i="26"/>
  <c r="L39"/>
  <c r="J39" s="1"/>
  <c r="K24" i="28"/>
  <c r="K22" s="1"/>
  <c r="K44" s="1"/>
  <c r="D9"/>
  <c r="D6" s="1"/>
  <c r="F25" i="27"/>
  <c r="F175" s="1"/>
  <c r="L6"/>
  <c r="D25" i="13"/>
  <c r="D24" i="28"/>
  <c r="J28"/>
  <c r="J33"/>
  <c r="O42"/>
  <c r="O39" s="1"/>
  <c r="O30"/>
  <c r="D22" i="4"/>
  <c r="D44" s="1"/>
  <c r="D45" s="1"/>
  <c r="E155" i="27"/>
  <c r="D22" i="15"/>
  <c r="D44" s="1"/>
  <c r="D45" s="1"/>
  <c r="O151" i="1"/>
  <c r="O45" s="1"/>
  <c r="J22" i="15"/>
  <c r="J44" s="1"/>
  <c r="J45" s="1"/>
  <c r="J22" i="10"/>
  <c r="J44" s="1"/>
  <c r="J45" s="1"/>
  <c r="N151" i="4"/>
  <c r="N45" s="1"/>
  <c r="D22" i="18"/>
  <c r="D44" s="1"/>
  <c r="D45" s="1"/>
  <c r="J22"/>
  <c r="J44" s="1"/>
  <c r="J45" s="1"/>
  <c r="K161" i="15"/>
  <c r="K155"/>
  <c r="K157" i="13"/>
  <c r="K161" i="10"/>
  <c r="K155"/>
  <c r="M161" i="8"/>
  <c r="M162" s="1"/>
  <c r="M155"/>
  <c r="M157" s="1"/>
  <c r="L151" i="12"/>
  <c r="L45" s="1"/>
  <c r="O151" i="18"/>
  <c r="O45" s="1"/>
  <c r="M151"/>
  <c r="M45" s="1"/>
  <c r="N161" i="8"/>
  <c r="N162" s="1"/>
  <c r="N155"/>
  <c r="N157" s="1"/>
  <c r="M155" i="3"/>
  <c r="M157" s="1"/>
  <c r="M161"/>
  <c r="M162" s="1"/>
  <c r="O151" i="19"/>
  <c r="O151" i="12"/>
  <c r="O45" s="1"/>
  <c r="F22" i="28"/>
  <c r="F44" s="1"/>
  <c r="H22" i="10"/>
  <c r="H22" i="8"/>
  <c r="D25" i="10"/>
  <c r="N22" i="20"/>
  <c r="J22" i="4"/>
  <c r="J44" s="1"/>
  <c r="J45" s="1"/>
  <c r="O22" i="20"/>
  <c r="O44" s="1"/>
  <c r="D25" i="6"/>
  <c r="O22" i="28"/>
  <c r="E143" i="11"/>
  <c r="N41" i="28"/>
  <c r="J32"/>
  <c r="E155" i="26"/>
  <c r="E157" s="1"/>
  <c r="O161"/>
  <c r="O162" s="1"/>
  <c r="O155"/>
  <c r="O157" s="1"/>
  <c r="D22" i="3"/>
  <c r="D44" s="1"/>
  <c r="D45" s="1"/>
  <c r="L151" i="1"/>
  <c r="N151" i="15"/>
  <c r="N151" i="10"/>
  <c r="J22" i="6"/>
  <c r="J44" s="1"/>
  <c r="J45" s="1"/>
  <c r="L151" i="4"/>
  <c r="L45" s="1"/>
  <c r="D22" i="2"/>
  <c r="D44" s="1"/>
  <c r="D45" s="1"/>
  <c r="D22" i="12"/>
  <c r="D44" s="1"/>
  <c r="D45" s="1"/>
  <c r="O161" i="15"/>
  <c r="O162" s="1"/>
  <c r="O155"/>
  <c r="O157" s="1"/>
  <c r="N151" i="12"/>
  <c r="N45" s="1"/>
  <c r="J22" i="3"/>
  <c r="J44" s="1"/>
  <c r="J45" s="1"/>
  <c r="J22" i="12"/>
  <c r="J44" s="1"/>
  <c r="J45" s="1"/>
  <c r="O161" i="8"/>
  <c r="O162" s="1"/>
  <c r="O155"/>
  <c r="O157" s="1"/>
  <c r="J22"/>
  <c r="J44" s="1"/>
  <c r="J45" s="1"/>
  <c r="M155" i="4"/>
  <c r="M157" s="1"/>
  <c r="H22" i="13"/>
  <c r="N22" i="28"/>
  <c r="H22" i="6"/>
  <c r="N171" i="33" l="1"/>
  <c r="J89" i="32"/>
  <c r="L89" i="33"/>
  <c r="J89" s="1"/>
  <c r="O15" i="32"/>
  <c r="O17" i="33"/>
  <c r="M27"/>
  <c r="M18"/>
  <c r="L28"/>
  <c r="M28" i="32"/>
  <c r="M174" s="1"/>
  <c r="M12" i="33"/>
  <c r="O46" i="32"/>
  <c r="O47" i="33"/>
  <c r="O46" s="1"/>
  <c r="D169" i="10"/>
  <c r="M169"/>
  <c r="L177" i="8"/>
  <c r="J177" s="1"/>
  <c r="O177" i="13"/>
  <c r="O178" s="1"/>
  <c r="M177"/>
  <c r="M178" s="1"/>
  <c r="J9" i="33"/>
  <c r="J32"/>
  <c r="N41"/>
  <c r="J41" s="1"/>
  <c r="J34"/>
  <c r="J169" i="6"/>
  <c r="J175" i="8"/>
  <c r="J169" i="3"/>
  <c r="L177" i="4"/>
  <c r="J177" s="1"/>
  <c r="L178"/>
  <c r="F169" i="2"/>
  <c r="O169" i="6"/>
  <c r="O177" s="1"/>
  <c r="O178" s="1"/>
  <c r="J17" i="33"/>
  <c r="M176"/>
  <c r="J176" s="1"/>
  <c r="J29"/>
  <c r="G46" i="28"/>
  <c r="J175" i="4"/>
  <c r="J169" s="1"/>
  <c r="K147" i="30"/>
  <c r="K143" i="29"/>
  <c r="L27" i="32"/>
  <c r="L20" i="33"/>
  <c r="L26" i="32"/>
  <c r="J26" s="1"/>
  <c r="L19" i="33"/>
  <c r="L46" i="32"/>
  <c r="L47" i="33"/>
  <c r="J177" i="15"/>
  <c r="J178" s="1"/>
  <c r="J169" i="8"/>
  <c r="O173" i="33"/>
  <c r="O30"/>
  <c r="J33"/>
  <c r="O42"/>
  <c r="O39" s="1"/>
  <c r="N40"/>
  <c r="N39" s="1"/>
  <c r="N30"/>
  <c r="J42"/>
  <c r="M40"/>
  <c r="M30"/>
  <c r="J30" s="1"/>
  <c r="J31"/>
  <c r="L39"/>
  <c r="J175" i="13"/>
  <c r="J169" s="1"/>
  <c r="L169"/>
  <c r="D169" i="8"/>
  <c r="L177" i="3"/>
  <c r="J177" s="1"/>
  <c r="J178" s="1"/>
  <c r="L178"/>
  <c r="D169" i="2"/>
  <c r="D46" i="28"/>
  <c r="N24" i="33"/>
  <c r="D46" i="11"/>
  <c r="J46" i="31"/>
  <c r="M177" i="18"/>
  <c r="M178"/>
  <c r="J169"/>
  <c r="L169"/>
  <c r="L151" i="19"/>
  <c r="I46" i="32"/>
  <c r="L45" i="18"/>
  <c r="O177"/>
  <c r="O178" s="1"/>
  <c r="N45"/>
  <c r="O45" i="19"/>
  <c r="O152" i="18"/>
  <c r="M152"/>
  <c r="L152"/>
  <c r="D46" i="32"/>
  <c r="M152" i="15"/>
  <c r="M45"/>
  <c r="J42" i="20"/>
  <c r="N152" i="15"/>
  <c r="N45"/>
  <c r="N160" s="1"/>
  <c r="O163"/>
  <c r="L178"/>
  <c r="O143" i="29"/>
  <c r="O180" s="1"/>
  <c r="I143"/>
  <c r="N45" i="13"/>
  <c r="O45"/>
  <c r="N147" i="30"/>
  <c r="N143" i="29"/>
  <c r="N180" s="1"/>
  <c r="M147" i="30"/>
  <c r="M143" i="29"/>
  <c r="M180" s="1"/>
  <c r="F46"/>
  <c r="L46"/>
  <c r="G46"/>
  <c r="E46"/>
  <c r="D46" s="1"/>
  <c r="L152" i="19"/>
  <c r="L45"/>
  <c r="N45" i="10"/>
  <c r="E45" i="2"/>
  <c r="E163" s="1"/>
  <c r="F25" i="11"/>
  <c r="D25" s="1"/>
  <c r="O44" i="28"/>
  <c r="F175"/>
  <c r="G175" i="31"/>
  <c r="O152" i="13"/>
  <c r="N152"/>
  <c r="M152"/>
  <c r="F169" i="27"/>
  <c r="J175" i="26"/>
  <c r="J169" s="1"/>
  <c r="L169"/>
  <c r="F169" i="19"/>
  <c r="N177" i="31"/>
  <c r="N178" s="1"/>
  <c r="J174"/>
  <c r="D174"/>
  <c r="L177" i="19"/>
  <c r="L178" s="1"/>
  <c r="O178" i="26"/>
  <c r="O177"/>
  <c r="G175" i="19"/>
  <c r="D175" s="1"/>
  <c r="D169" s="1"/>
  <c r="L175" i="27"/>
  <c r="F169" i="26"/>
  <c r="F169" i="28"/>
  <c r="M170"/>
  <c r="J171"/>
  <c r="J171" i="31"/>
  <c r="M170"/>
  <c r="J173"/>
  <c r="O170"/>
  <c r="O169" s="1"/>
  <c r="M169" i="19"/>
  <c r="J170"/>
  <c r="N177"/>
  <c r="N178" s="1"/>
  <c r="G175" i="27"/>
  <c r="D175" s="1"/>
  <c r="D169" s="1"/>
  <c r="J169" i="19"/>
  <c r="J180" i="31"/>
  <c r="D169" i="26"/>
  <c r="O178" i="12"/>
  <c r="D174" i="32"/>
  <c r="I146" i="33"/>
  <c r="D9" i="11"/>
  <c r="M175"/>
  <c r="G22" i="20"/>
  <c r="J169" i="10"/>
  <c r="N178"/>
  <c r="M177"/>
  <c r="M151"/>
  <c r="O151"/>
  <c r="F180" i="20"/>
  <c r="D180" s="1"/>
  <c r="D174" i="11"/>
  <c r="D47" i="29"/>
  <c r="F180" i="11"/>
  <c r="F175"/>
  <c r="D175" s="1"/>
  <c r="F175" i="20"/>
  <c r="M155" i="10"/>
  <c r="M157" s="1"/>
  <c r="N152"/>
  <c r="O177" i="28"/>
  <c r="N160" i="8"/>
  <c r="J83" i="30"/>
  <c r="M171" i="33"/>
  <c r="N71" i="30"/>
  <c r="J15" i="28"/>
  <c r="L175" i="20"/>
  <c r="L169"/>
  <c r="O163" i="8"/>
  <c r="M169" i="11"/>
  <c r="L163" i="8"/>
  <c r="N44" i="20"/>
  <c r="N159" s="1"/>
  <c r="O44" i="11"/>
  <c r="O152" i="8"/>
  <c r="L152"/>
  <c r="O169" i="11"/>
  <c r="O177" s="1"/>
  <c r="O178" s="1"/>
  <c r="D180"/>
  <c r="O177" i="27"/>
  <c r="O178" s="1"/>
  <c r="J30"/>
  <c r="O44"/>
  <c r="J173" i="32"/>
  <c r="O170"/>
  <c r="O169" s="1"/>
  <c r="O177" s="1"/>
  <c r="O178" s="1"/>
  <c r="N171"/>
  <c r="J171" s="1"/>
  <c r="J171" i="11"/>
  <c r="D180" i="31"/>
  <c r="E163" i="27"/>
  <c r="E163" i="26"/>
  <c r="O163"/>
  <c r="N152" i="6"/>
  <c r="O152" i="12"/>
  <c r="L152"/>
  <c r="O152" i="6"/>
  <c r="N152" i="12"/>
  <c r="M161" i="4"/>
  <c r="M162" s="1"/>
  <c r="M152"/>
  <c r="N152"/>
  <c r="L152"/>
  <c r="N159" i="19"/>
  <c r="N151"/>
  <c r="J159" i="8"/>
  <c r="J159" i="4"/>
  <c r="J159" i="10"/>
  <c r="L159" i="13"/>
  <c r="O159" i="19"/>
  <c r="O152"/>
  <c r="O159" i="4"/>
  <c r="J159" i="12"/>
  <c r="J159" i="6"/>
  <c r="D22" i="8"/>
  <c r="D44" s="1"/>
  <c r="D45" s="1"/>
  <c r="J159" i="18"/>
  <c r="J159" i="15"/>
  <c r="N159" i="18"/>
  <c r="N152"/>
  <c r="M160" i="3"/>
  <c r="N160"/>
  <c r="L160"/>
  <c r="J159"/>
  <c r="L152"/>
  <c r="N152"/>
  <c r="M152"/>
  <c r="K159" i="28"/>
  <c r="K152"/>
  <c r="K162"/>
  <c r="K152" i="26"/>
  <c r="K159"/>
  <c r="K162"/>
  <c r="K152" i="27"/>
  <c r="K159"/>
  <c r="K162"/>
  <c r="E153"/>
  <c r="K159" i="20"/>
  <c r="E162" i="28"/>
  <c r="E159"/>
  <c r="E152"/>
  <c r="E160" i="26"/>
  <c r="E153"/>
  <c r="O159" i="28"/>
  <c r="O159" i="20"/>
  <c r="M159" i="26"/>
  <c r="L159" i="27"/>
  <c r="N159"/>
  <c r="O159" i="11"/>
  <c r="N159" i="26"/>
  <c r="M159" i="1"/>
  <c r="O160" i="26"/>
  <c r="O153"/>
  <c r="O152" i="1"/>
  <c r="L152"/>
  <c r="D143" i="27"/>
  <c r="O160" i="19"/>
  <c r="O153"/>
  <c r="L160"/>
  <c r="L153"/>
  <c r="O160" i="18"/>
  <c r="L153"/>
  <c r="M160"/>
  <c r="N153"/>
  <c r="M160" i="15"/>
  <c r="O153"/>
  <c r="K153"/>
  <c r="M160" i="13"/>
  <c r="N160"/>
  <c r="O160"/>
  <c r="K153"/>
  <c r="O160" i="12"/>
  <c r="N160"/>
  <c r="L160"/>
  <c r="N160" i="10"/>
  <c r="K153"/>
  <c r="O160" i="8"/>
  <c r="L160"/>
  <c r="N153"/>
  <c r="M153"/>
  <c r="N153" i="6"/>
  <c r="O153"/>
  <c r="O153" i="1"/>
  <c r="L153" i="3"/>
  <c r="N153"/>
  <c r="M153"/>
  <c r="L153" i="4"/>
  <c r="N153"/>
  <c r="M153"/>
  <c r="E153" i="2"/>
  <c r="M39" i="27"/>
  <c r="J40"/>
  <c r="J34" i="11"/>
  <c r="O160" i="6"/>
  <c r="N160"/>
  <c r="E155" i="2"/>
  <c r="E157" s="1"/>
  <c r="L160" i="4"/>
  <c r="N160"/>
  <c r="M160"/>
  <c r="N161" i="18"/>
  <c r="N162" s="1"/>
  <c r="N155"/>
  <c r="N157" s="1"/>
  <c r="L155"/>
  <c r="L157" s="1"/>
  <c r="L161"/>
  <c r="L162" s="1"/>
  <c r="J30" i="20"/>
  <c r="J150" i="19"/>
  <c r="J150" i="31"/>
  <c r="J148" s="1"/>
  <c r="O151" i="3"/>
  <c r="O45" s="1"/>
  <c r="J73" i="33"/>
  <c r="O160" i="1"/>
  <c r="D73" i="31"/>
  <c r="M73" i="30"/>
  <c r="D73" i="28"/>
  <c r="H73" i="33"/>
  <c r="J49" i="32"/>
  <c r="J38" i="29"/>
  <c r="N43"/>
  <c r="J43" s="1"/>
  <c r="O33"/>
  <c r="O173" s="1"/>
  <c r="J22" i="1"/>
  <c r="J44" s="1"/>
  <c r="J45" s="1"/>
  <c r="L151" i="6"/>
  <c r="L45" s="1"/>
  <c r="O161"/>
  <c r="O162" s="1"/>
  <c r="O155"/>
  <c r="O157" s="1"/>
  <c r="N161"/>
  <c r="N162" s="1"/>
  <c r="N155"/>
  <c r="N157" s="1"/>
  <c r="E151" i="18"/>
  <c r="E151" i="15"/>
  <c r="E151" i="4"/>
  <c r="E151" i="10"/>
  <c r="E151" i="6"/>
  <c r="E151" i="8"/>
  <c r="E151" i="13"/>
  <c r="E45" s="1"/>
  <c r="E163" s="1"/>
  <c r="M155" i="15"/>
  <c r="M157" s="1"/>
  <c r="M161"/>
  <c r="M162" s="1"/>
  <c r="J24" i="28"/>
  <c r="E151" i="19"/>
  <c r="E151" i="3"/>
  <c r="E45" s="1"/>
  <c r="E151" i="28"/>
  <c r="E45" s="1"/>
  <c r="E151" i="20"/>
  <c r="E45" s="1"/>
  <c r="J22" i="13"/>
  <c r="J44" s="1"/>
  <c r="J45" s="1"/>
  <c r="O161"/>
  <c r="O162" s="1"/>
  <c r="O155"/>
  <c r="O157" s="1"/>
  <c r="D47" i="32"/>
  <c r="O146" i="30"/>
  <c r="I146"/>
  <c r="E47" i="33"/>
  <c r="E46" s="1"/>
  <c r="H47"/>
  <c r="H46" s="1"/>
  <c r="D27" i="31"/>
  <c r="H143" i="33"/>
  <c r="H180" s="1"/>
  <c r="H143" i="32"/>
  <c r="H180" s="1"/>
  <c r="J27" i="31"/>
  <c r="D28" i="20"/>
  <c r="J24"/>
  <c r="E150" i="32"/>
  <c r="E150" i="33" s="1"/>
  <c r="D12"/>
  <c r="F25" i="31"/>
  <c r="D25" s="1"/>
  <c r="G15"/>
  <c r="L25"/>
  <c r="L175" s="1"/>
  <c r="J175" s="1"/>
  <c r="M15"/>
  <c r="D150" i="1"/>
  <c r="D148" s="1"/>
  <c r="D6" i="32"/>
  <c r="N155" i="13"/>
  <c r="N157" s="1"/>
  <c r="N161"/>
  <c r="N162" s="1"/>
  <c r="D143" i="31"/>
  <c r="D150"/>
  <c r="D29" i="20"/>
  <c r="D29" i="31"/>
  <c r="D28"/>
  <c r="H22" i="20"/>
  <c r="D9" i="31"/>
  <c r="D6" s="1"/>
  <c r="G22"/>
  <c r="I22"/>
  <c r="D24"/>
  <c r="E22"/>
  <c r="E44" s="1"/>
  <c r="H22"/>
  <c r="D25" i="20"/>
  <c r="F25" i="32"/>
  <c r="D25" s="1"/>
  <c r="D20" i="30"/>
  <c r="G27"/>
  <c r="G18"/>
  <c r="G25" s="1"/>
  <c r="D15" i="11"/>
  <c r="D28" i="32"/>
  <c r="G15" i="33"/>
  <c r="D15" i="32"/>
  <c r="J20"/>
  <c r="D59" i="33"/>
  <c r="O158" i="32"/>
  <c r="O158" i="33" s="1"/>
  <c r="L158" i="32"/>
  <c r="M30"/>
  <c r="J31"/>
  <c r="M40"/>
  <c r="J34"/>
  <c r="O42"/>
  <c r="O39" s="1"/>
  <c r="O30"/>
  <c r="J33"/>
  <c r="J32"/>
  <c r="N41"/>
  <c r="J41" s="1"/>
  <c r="N40"/>
  <c r="N30"/>
  <c r="L39"/>
  <c r="J29"/>
  <c r="J28" i="20"/>
  <c r="L28" i="32"/>
  <c r="L174" s="1"/>
  <c r="J174" s="1"/>
  <c r="J12"/>
  <c r="F147" i="33"/>
  <c r="F143" s="1"/>
  <c r="F180" s="1"/>
  <c r="F143" i="32"/>
  <c r="F180" s="1"/>
  <c r="G147" i="33"/>
  <c r="G143" s="1"/>
  <c r="G180" s="1"/>
  <c r="G143" i="32"/>
  <c r="G180" s="1"/>
  <c r="I143" i="33"/>
  <c r="I180" s="1"/>
  <c r="D144"/>
  <c r="D147"/>
  <c r="D146"/>
  <c r="I143" i="32"/>
  <c r="I180" s="1"/>
  <c r="D147"/>
  <c r="G73" i="33"/>
  <c r="D73" i="32"/>
  <c r="D64" i="33"/>
  <c r="F64" i="30"/>
  <c r="D64" s="1"/>
  <c r="D64" i="29"/>
  <c r="D64" i="32"/>
  <c r="D52"/>
  <c r="F52" i="33"/>
  <c r="D52" s="1"/>
  <c r="G47"/>
  <c r="G46" s="1"/>
  <c r="D19"/>
  <c r="D18" s="1"/>
  <c r="F18"/>
  <c r="F25" s="1"/>
  <c r="D25" s="1"/>
  <c r="D17"/>
  <c r="D15" s="1"/>
  <c r="E15"/>
  <c r="D29" i="32"/>
  <c r="G29" i="33"/>
  <c r="G176" s="1"/>
  <c r="D176" s="1"/>
  <c r="D14"/>
  <c r="D13"/>
  <c r="H28"/>
  <c r="H174" s="1"/>
  <c r="D174" s="1"/>
  <c r="F27"/>
  <c r="D27" s="1"/>
  <c r="D11"/>
  <c r="D9" s="1"/>
  <c r="I24"/>
  <c r="I175" s="1"/>
  <c r="I6"/>
  <c r="E22" i="32"/>
  <c r="E44" s="1"/>
  <c r="D24"/>
  <c r="H22"/>
  <c r="H6" i="33"/>
  <c r="H24"/>
  <c r="H175" s="1"/>
  <c r="G24"/>
  <c r="G175" s="1"/>
  <c r="G6"/>
  <c r="F24"/>
  <c r="F6"/>
  <c r="I22" i="32"/>
  <c r="E24" i="33"/>
  <c r="E6"/>
  <c r="D8"/>
  <c r="G22" i="32"/>
  <c r="M27"/>
  <c r="M18"/>
  <c r="J27"/>
  <c r="J18" i="31"/>
  <c r="J15" s="1"/>
  <c r="J18" i="20"/>
  <c r="J15" s="1"/>
  <c r="J19" i="32"/>
  <c r="J18" s="1"/>
  <c r="L18"/>
  <c r="L15" s="1"/>
  <c r="M15" i="20"/>
  <c r="M25"/>
  <c r="M175" s="1"/>
  <c r="J175" s="1"/>
  <c r="J169" s="1"/>
  <c r="J9" i="32"/>
  <c r="J9" i="31"/>
  <c r="J6" s="1"/>
  <c r="J17" i="32"/>
  <c r="J15" s="1"/>
  <c r="K15"/>
  <c r="O22" i="31"/>
  <c r="O22" i="32"/>
  <c r="N22"/>
  <c r="J24"/>
  <c r="K22"/>
  <c r="K44" s="1"/>
  <c r="J24" i="31"/>
  <c r="K22"/>
  <c r="K44" s="1"/>
  <c r="J29"/>
  <c r="J28"/>
  <c r="M22"/>
  <c r="N22"/>
  <c r="O42"/>
  <c r="O39" s="1"/>
  <c r="O30"/>
  <c r="J33"/>
  <c r="J32"/>
  <c r="N41"/>
  <c r="J41" s="1"/>
  <c r="N40"/>
  <c r="N30"/>
  <c r="J34"/>
  <c r="M30"/>
  <c r="J31"/>
  <c r="M40"/>
  <c r="L39"/>
  <c r="M155" i="13"/>
  <c r="M161"/>
  <c r="M162" s="1"/>
  <c r="D147" i="28"/>
  <c r="G143"/>
  <c r="G180" s="1"/>
  <c r="D180" s="1"/>
  <c r="J148" i="19"/>
  <c r="D150" i="27"/>
  <c r="D148" s="1"/>
  <c r="F150" i="32"/>
  <c r="F150" i="33" s="1"/>
  <c r="J42" i="28"/>
  <c r="O151" i="27"/>
  <c r="O45" s="1"/>
  <c r="G15" i="28"/>
  <c r="G25"/>
  <c r="G175" s="1"/>
  <c r="D175" s="1"/>
  <c r="D169" s="1"/>
  <c r="G22" i="1"/>
  <c r="D25"/>
  <c r="L22" i="20"/>
  <c r="L44" s="1"/>
  <c r="J29" i="28"/>
  <c r="J41" i="27"/>
  <c r="N39"/>
  <c r="M30" i="28"/>
  <c r="M40"/>
  <c r="M39" s="1"/>
  <c r="D77" i="29"/>
  <c r="D77" i="30"/>
  <c r="L151" i="27"/>
  <c r="J49" i="29"/>
  <c r="N49" i="30"/>
  <c r="O17"/>
  <c r="O15" s="1"/>
  <c r="O15" i="29"/>
  <c r="N41" i="11"/>
  <c r="J41" s="1"/>
  <c r="J32"/>
  <c r="N30"/>
  <c r="N31" i="29"/>
  <c r="N171" s="1"/>
  <c r="J37"/>
  <c r="L37" i="30"/>
  <c r="L42" i="29"/>
  <c r="K64" i="30"/>
  <c r="J64" s="1"/>
  <c r="J64" i="29"/>
  <c r="K143" i="30"/>
  <c r="J42" i="11"/>
  <c r="J11" i="29"/>
  <c r="L11" i="30"/>
  <c r="J11" s="1"/>
  <c r="M37"/>
  <c r="N32" i="29"/>
  <c r="M42"/>
  <c r="M34"/>
  <c r="O33" i="30"/>
  <c r="O173" s="1"/>
  <c r="N34"/>
  <c r="J38"/>
  <c r="N43"/>
  <c r="J43" s="1"/>
  <c r="M53"/>
  <c r="J53" s="1"/>
  <c r="J53" i="29"/>
  <c r="H57" i="30"/>
  <c r="D57" s="1"/>
  <c r="D57" i="29"/>
  <c r="J30" i="19"/>
  <c r="J6" i="11"/>
  <c r="O24" i="30"/>
  <c r="O175" s="1"/>
  <c r="O6"/>
  <c r="F89"/>
  <c r="D89" s="1"/>
  <c r="D89" i="29"/>
  <c r="D29" i="11"/>
  <c r="M20" i="30"/>
  <c r="M27" i="29"/>
  <c r="M18"/>
  <c r="J71"/>
  <c r="M71" i="30"/>
  <c r="J29" i="11"/>
  <c r="J14" i="29"/>
  <c r="M29"/>
  <c r="M176" s="1"/>
  <c r="J176" s="1"/>
  <c r="M14" i="30"/>
  <c r="M6" i="29"/>
  <c r="L21" i="30"/>
  <c r="J21" i="29"/>
  <c r="L28"/>
  <c r="L174" s="1"/>
  <c r="L154" i="30"/>
  <c r="J154" s="1"/>
  <c r="J154" i="29"/>
  <c r="O22"/>
  <c r="G29"/>
  <c r="G176" s="1"/>
  <c r="D176" s="1"/>
  <c r="G14" i="30"/>
  <c r="D14" i="29"/>
  <c r="K17" i="30"/>
  <c r="K15" s="1"/>
  <c r="K15" i="29"/>
  <c r="J144"/>
  <c r="O144" i="30"/>
  <c r="N143"/>
  <c r="N180" s="1"/>
  <c r="H49"/>
  <c r="D49" i="29"/>
  <c r="D143" i="20"/>
  <c r="H146" i="30"/>
  <c r="H143" s="1"/>
  <c r="H180" s="1"/>
  <c r="D83" i="29"/>
  <c r="F83" i="30"/>
  <c r="D83" s="1"/>
  <c r="D10" i="29"/>
  <c r="F10" i="30"/>
  <c r="D10" s="1"/>
  <c r="H13" i="29"/>
  <c r="D13" s="1"/>
  <c r="H58"/>
  <c r="D58" s="1"/>
  <c r="H28"/>
  <c r="H174" s="1"/>
  <c r="H12" i="30"/>
  <c r="F28" i="29"/>
  <c r="F174" s="1"/>
  <c r="F12" i="30"/>
  <c r="F28" s="1"/>
  <c r="F174" s="1"/>
  <c r="I8"/>
  <c r="I6" s="1"/>
  <c r="I6" i="29"/>
  <c r="F22" i="27"/>
  <c r="F44" s="1"/>
  <c r="D25"/>
  <c r="J25" i="26"/>
  <c r="L22"/>
  <c r="L44" s="1"/>
  <c r="N40" i="28"/>
  <c r="N39" s="1"/>
  <c r="J39" s="1"/>
  <c r="J31"/>
  <c r="N30"/>
  <c r="N44" s="1"/>
  <c r="M22" i="27"/>
  <c r="M44" s="1"/>
  <c r="J25"/>
  <c r="D24" i="11"/>
  <c r="E22"/>
  <c r="E44" s="1"/>
  <c r="F11" i="30"/>
  <c r="D11" i="29"/>
  <c r="F27"/>
  <c r="D27" s="1"/>
  <c r="F9"/>
  <c r="F6" s="1"/>
  <c r="G22" i="11"/>
  <c r="N12" i="30"/>
  <c r="N28" i="29"/>
  <c r="N174" s="1"/>
  <c r="N58"/>
  <c r="J58" s="1"/>
  <c r="N13"/>
  <c r="J13" s="1"/>
  <c r="N6"/>
  <c r="L20" i="30"/>
  <c r="J20" i="29"/>
  <c r="J18" s="1"/>
  <c r="L18"/>
  <c r="L15" s="1"/>
  <c r="L27"/>
  <c r="J27" s="1"/>
  <c r="D28" i="28"/>
  <c r="G22"/>
  <c r="M28" i="30"/>
  <c r="M174" s="1"/>
  <c r="M6"/>
  <c r="M25" i="28"/>
  <c r="M175" s="1"/>
  <c r="M15"/>
  <c r="F22" i="19"/>
  <c r="F44" s="1"/>
  <c r="E59" i="30"/>
  <c r="D59" i="29"/>
  <c r="F8" i="30"/>
  <c r="F24" i="29"/>
  <c r="G12" i="30"/>
  <c r="G28" i="29"/>
  <c r="G174" s="1"/>
  <c r="D12"/>
  <c r="G6"/>
  <c r="H8" i="30"/>
  <c r="H6" i="29"/>
  <c r="H24"/>
  <c r="H175" s="1"/>
  <c r="M22" i="11"/>
  <c r="L39"/>
  <c r="L36" i="30"/>
  <c r="M31" i="29"/>
  <c r="M171" s="1"/>
  <c r="J36"/>
  <c r="L41"/>
  <c r="L34"/>
  <c r="N73" i="30"/>
  <c r="J73" s="1"/>
  <c r="J73" i="29"/>
  <c r="N158" i="30"/>
  <c r="J158" i="29"/>
  <c r="D6" i="11"/>
  <c r="J24"/>
  <c r="F6" i="28"/>
  <c r="F6" i="11"/>
  <c r="J15"/>
  <c r="H22" i="28"/>
  <c r="G22" i="19"/>
  <c r="J41" i="20"/>
  <c r="N39"/>
  <c r="K22" i="29"/>
  <c r="K44" s="1"/>
  <c r="K24" i="30"/>
  <c r="K6"/>
  <c r="O39" i="27"/>
  <c r="J39" s="1"/>
  <c r="J42"/>
  <c r="L25" i="28"/>
  <c r="L175" s="1"/>
  <c r="L15"/>
  <c r="M39" i="19"/>
  <c r="J40"/>
  <c r="J41"/>
  <c r="N39"/>
  <c r="M39" i="20"/>
  <c r="J40"/>
  <c r="E65" i="30"/>
  <c r="D65" s="1"/>
  <c r="D65" i="29"/>
  <c r="E8" i="30"/>
  <c r="E24" i="29"/>
  <c r="D8"/>
  <c r="E6"/>
  <c r="D71"/>
  <c r="G71" i="30"/>
  <c r="G17"/>
  <c r="G15" i="29"/>
  <c r="D17"/>
  <c r="G24"/>
  <c r="G175" s="1"/>
  <c r="L8" i="30"/>
  <c r="L24" s="1"/>
  <c r="L24" i="29"/>
  <c r="J28" i="11"/>
  <c r="N22"/>
  <c r="L25"/>
  <c r="J25" s="1"/>
  <c r="L15"/>
  <c r="M52" i="30"/>
  <c r="J52" s="1"/>
  <c r="J52" i="29"/>
  <c r="K65" i="30"/>
  <c r="J65" s="1"/>
  <c r="J65" i="29"/>
  <c r="L89" i="30"/>
  <c r="J89" s="1"/>
  <c r="J89" i="29"/>
  <c r="M22" i="19"/>
  <c r="M44" s="1"/>
  <c r="J25"/>
  <c r="D29" i="28"/>
  <c r="G53" i="30"/>
  <c r="D53" s="1"/>
  <c r="D53" i="29"/>
  <c r="F146" i="30"/>
  <c r="D146" i="29"/>
  <c r="F19" i="30"/>
  <c r="D19" i="29"/>
  <c r="D18" s="1"/>
  <c r="F18"/>
  <c r="F26"/>
  <c r="D26" s="1"/>
  <c r="F22" i="11"/>
  <c r="F44" s="1"/>
  <c r="D28"/>
  <c r="H22"/>
  <c r="I22"/>
  <c r="I17" i="30"/>
  <c r="I24" i="29"/>
  <c r="I175" s="1"/>
  <c r="I15"/>
  <c r="L10" i="30"/>
  <c r="J10" i="29"/>
  <c r="J9" s="1"/>
  <c r="L9"/>
  <c r="L26"/>
  <c r="J26" s="1"/>
  <c r="M17" i="30"/>
  <c r="J17" i="29"/>
  <c r="M24"/>
  <c r="M30" i="11"/>
  <c r="J31"/>
  <c r="M40"/>
  <c r="M146" i="30"/>
  <c r="J158" i="20"/>
  <c r="J12" i="29"/>
  <c r="K151" i="8"/>
  <c r="K151" i="12"/>
  <c r="K45" s="1"/>
  <c r="K151" i="3"/>
  <c r="K45" s="1"/>
  <c r="N161" i="12"/>
  <c r="N162" s="1"/>
  <c r="N155"/>
  <c r="N157" s="1"/>
  <c r="N155" i="19"/>
  <c r="N157" s="1"/>
  <c r="N161"/>
  <c r="N162" s="1"/>
  <c r="L155"/>
  <c r="L157" s="1"/>
  <c r="L161"/>
  <c r="L162" s="1"/>
  <c r="L161" i="4"/>
  <c r="L162" s="1"/>
  <c r="L155"/>
  <c r="L157" s="1"/>
  <c r="L155" i="1"/>
  <c r="L157" s="1"/>
  <c r="L161"/>
  <c r="L162" s="1"/>
  <c r="E155" i="6"/>
  <c r="G31" i="8"/>
  <c r="G171" s="1"/>
  <c r="F34"/>
  <c r="F151" s="1"/>
  <c r="F45" s="1"/>
  <c r="F41"/>
  <c r="D36"/>
  <c r="G31" i="15"/>
  <c r="G171" s="1"/>
  <c r="F34"/>
  <c r="F41"/>
  <c r="D36"/>
  <c r="D143" i="11"/>
  <c r="O161" i="12"/>
  <c r="O162" s="1"/>
  <c r="O155"/>
  <c r="O157" s="1"/>
  <c r="O155" i="19"/>
  <c r="O157" s="1"/>
  <c r="O161"/>
  <c r="O162" s="1"/>
  <c r="K151"/>
  <c r="E155" i="20"/>
  <c r="M155" i="18"/>
  <c r="M157" s="1"/>
  <c r="M161"/>
  <c r="M162" s="1"/>
  <c r="O155"/>
  <c r="O157" s="1"/>
  <c r="O161"/>
  <c r="O162" s="1"/>
  <c r="L161" i="12"/>
  <c r="L162" s="1"/>
  <c r="L155"/>
  <c r="L157" s="1"/>
  <c r="K157" i="15"/>
  <c r="E155" i="18"/>
  <c r="L151" i="10"/>
  <c r="L151" i="15"/>
  <c r="H31" i="2"/>
  <c r="H171" s="1"/>
  <c r="F42"/>
  <c r="G31" i="10"/>
  <c r="G171" s="1"/>
  <c r="F34"/>
  <c r="F41"/>
  <c r="D36"/>
  <c r="H31" i="18"/>
  <c r="H171" s="1"/>
  <c r="F42"/>
  <c r="K151" i="26"/>
  <c r="K45" s="1"/>
  <c r="E155" i="13"/>
  <c r="D22" i="10"/>
  <c r="D44" s="1"/>
  <c r="D45" s="1"/>
  <c r="O151" i="11"/>
  <c r="O45" s="1"/>
  <c r="O151" i="4"/>
  <c r="O45" s="1"/>
  <c r="E151" i="12"/>
  <c r="E45" s="1"/>
  <c r="N155" i="3"/>
  <c r="N157" s="1"/>
  <c r="N161"/>
  <c r="N162" s="1"/>
  <c r="N161" i="10"/>
  <c r="N162" s="1"/>
  <c r="N155"/>
  <c r="N157" s="1"/>
  <c r="N155" i="15"/>
  <c r="N157" s="1"/>
  <c r="N161"/>
  <c r="N162" s="1"/>
  <c r="H31" i="8"/>
  <c r="H171" s="1"/>
  <c r="F42"/>
  <c r="H31" i="15"/>
  <c r="H171" s="1"/>
  <c r="F42"/>
  <c r="E155" i="28"/>
  <c r="O151"/>
  <c r="O45" s="1"/>
  <c r="O151" i="20"/>
  <c r="O45" s="1"/>
  <c r="K157" i="10"/>
  <c r="E151" i="1"/>
  <c r="E45" s="1"/>
  <c r="K151" i="18"/>
  <c r="L155" i="3"/>
  <c r="L157" s="1"/>
  <c r="L161"/>
  <c r="L162" s="1"/>
  <c r="N161" i="4"/>
  <c r="N162" s="1"/>
  <c r="N155"/>
  <c r="N157" s="1"/>
  <c r="O155" i="1"/>
  <c r="O157" s="1"/>
  <c r="O161"/>
  <c r="O162" s="1"/>
  <c r="H31" i="10"/>
  <c r="H171" s="1"/>
  <c r="F42"/>
  <c r="E155" i="15"/>
  <c r="G31" i="18"/>
  <c r="G171" s="1"/>
  <c r="F177" s="1"/>
  <c r="F34"/>
  <c r="F41"/>
  <c r="D36"/>
  <c r="E157" i="27"/>
  <c r="E155" i="4"/>
  <c r="E155" i="8"/>
  <c r="E155" i="10"/>
  <c r="D22" i="6"/>
  <c r="D44" s="1"/>
  <c r="D45" s="1"/>
  <c r="J41" i="28"/>
  <c r="D22" i="13"/>
  <c r="D44" s="1"/>
  <c r="D45" s="1"/>
  <c r="F175" i="33" l="1"/>
  <c r="D175" s="1"/>
  <c r="D171" i="15"/>
  <c r="G170"/>
  <c r="D171" i="8"/>
  <c r="G170"/>
  <c r="J174" i="29"/>
  <c r="J158" i="32"/>
  <c r="L158" i="33"/>
  <c r="J158" s="1"/>
  <c r="N175"/>
  <c r="N22"/>
  <c r="N44" s="1"/>
  <c r="M39"/>
  <c r="J40"/>
  <c r="L46"/>
  <c r="J19"/>
  <c r="J18" s="1"/>
  <c r="J15" s="1"/>
  <c r="L18"/>
  <c r="L26"/>
  <c r="J26" s="1"/>
  <c r="J20"/>
  <c r="L27"/>
  <c r="J27" s="1"/>
  <c r="F177" i="15"/>
  <c r="F177" i="8"/>
  <c r="J178"/>
  <c r="M28" i="33"/>
  <c r="M174" s="1"/>
  <c r="M6"/>
  <c r="J12"/>
  <c r="J6" s="1"/>
  <c r="M25"/>
  <c r="M15"/>
  <c r="O15"/>
  <c r="O24"/>
  <c r="M170" i="29"/>
  <c r="J171"/>
  <c r="J173"/>
  <c r="O170"/>
  <c r="O169" s="1"/>
  <c r="D143"/>
  <c r="I180"/>
  <c r="L177" i="13"/>
  <c r="J177" s="1"/>
  <c r="J178" s="1"/>
  <c r="J39" i="33"/>
  <c r="J173"/>
  <c r="O170"/>
  <c r="J178" i="4"/>
  <c r="L178" i="8"/>
  <c r="L174" i="33"/>
  <c r="J174" s="1"/>
  <c r="J28"/>
  <c r="F178" i="18"/>
  <c r="D171"/>
  <c r="G170"/>
  <c r="L177"/>
  <c r="L178" s="1"/>
  <c r="E45" i="19"/>
  <c r="E155"/>
  <c r="K152" i="18"/>
  <c r="K45"/>
  <c r="D46" i="33"/>
  <c r="O163" i="18"/>
  <c r="M163"/>
  <c r="K45" i="19"/>
  <c r="K152"/>
  <c r="N163" i="18"/>
  <c r="L163"/>
  <c r="L152" i="15"/>
  <c r="L45"/>
  <c r="M163"/>
  <c r="N163"/>
  <c r="O177" i="29"/>
  <c r="N152" i="19"/>
  <c r="N45"/>
  <c r="E45" i="18"/>
  <c r="E163" s="1"/>
  <c r="E45" i="15"/>
  <c r="E163" s="1"/>
  <c r="O45" i="10"/>
  <c r="O160" s="1"/>
  <c r="M161"/>
  <c r="M162" s="1"/>
  <c r="L45"/>
  <c r="E45"/>
  <c r="E163" s="1"/>
  <c r="M45"/>
  <c r="M153" s="1"/>
  <c r="K45" i="8"/>
  <c r="K163" s="1"/>
  <c r="J151"/>
  <c r="J152" s="1"/>
  <c r="E45"/>
  <c r="E163" s="1"/>
  <c r="E45" i="6"/>
  <c r="E163" s="1"/>
  <c r="E45" i="4"/>
  <c r="E163" s="1"/>
  <c r="L22" i="31"/>
  <c r="L44" s="1"/>
  <c r="O44"/>
  <c r="L163" i="19"/>
  <c r="N163" i="13"/>
  <c r="O163" i="19"/>
  <c r="M163" i="13"/>
  <c r="O163"/>
  <c r="J175" i="28"/>
  <c r="J169" s="1"/>
  <c r="L169"/>
  <c r="O177" i="31"/>
  <c r="O178" s="1"/>
  <c r="M169"/>
  <c r="J170"/>
  <c r="J175" i="27"/>
  <c r="J169" s="1"/>
  <c r="L169"/>
  <c r="N44" i="31"/>
  <c r="L169"/>
  <c r="M177" i="19"/>
  <c r="J177" s="1"/>
  <c r="J178" s="1"/>
  <c r="M169" i="28"/>
  <c r="M44" i="31"/>
  <c r="F175"/>
  <c r="J169"/>
  <c r="M178" i="10"/>
  <c r="F177"/>
  <c r="J177"/>
  <c r="J178" s="1"/>
  <c r="M152"/>
  <c r="O155"/>
  <c r="O157" s="1"/>
  <c r="O152"/>
  <c r="O161"/>
  <c r="O162" s="1"/>
  <c r="F178"/>
  <c r="D169" i="33"/>
  <c r="D171" i="10"/>
  <c r="G170"/>
  <c r="F175" i="32"/>
  <c r="D169" i="11"/>
  <c r="D174" i="29"/>
  <c r="D175" i="20"/>
  <c r="D169" s="1"/>
  <c r="F169"/>
  <c r="F169" i="11"/>
  <c r="F169" i="33"/>
  <c r="J28" i="29"/>
  <c r="M163" i="10"/>
  <c r="N163"/>
  <c r="L152"/>
  <c r="M160"/>
  <c r="O153"/>
  <c r="O178" i="28"/>
  <c r="N163" i="8"/>
  <c r="J71" i="30"/>
  <c r="J171" i="33"/>
  <c r="M170"/>
  <c r="M169" i="20"/>
  <c r="L175" i="11"/>
  <c r="M163" i="8"/>
  <c r="M160"/>
  <c r="O44" i="32"/>
  <c r="N44" i="11"/>
  <c r="N44" i="32"/>
  <c r="J173" i="30"/>
  <c r="O170"/>
  <c r="O169" s="1"/>
  <c r="J30" i="28"/>
  <c r="J30" i="11"/>
  <c r="M44"/>
  <c r="D180" i="33"/>
  <c r="D180" i="32"/>
  <c r="D180" i="29"/>
  <c r="E163" i="20"/>
  <c r="E163" i="19"/>
  <c r="N163"/>
  <c r="E163" i="12"/>
  <c r="K163"/>
  <c r="E163" i="28"/>
  <c r="E163" i="1"/>
  <c r="N163" i="4"/>
  <c r="M163"/>
  <c r="L163"/>
  <c r="K163" i="26"/>
  <c r="O163" i="1"/>
  <c r="N163" i="12"/>
  <c r="O163"/>
  <c r="O163" i="6"/>
  <c r="N163"/>
  <c r="L163" i="12"/>
  <c r="L152" i="6"/>
  <c r="D22" i="20"/>
  <c r="D44" s="1"/>
  <c r="D45" s="1"/>
  <c r="L152" i="27"/>
  <c r="D22" i="1"/>
  <c r="D44" s="1"/>
  <c r="D45" s="1"/>
  <c r="E155" i="3"/>
  <c r="J34" i="29"/>
  <c r="O152" i="4"/>
  <c r="F151" i="18"/>
  <c r="F45" s="1"/>
  <c r="F151" i="10"/>
  <c r="F45" s="1"/>
  <c r="F151" i="15"/>
  <c r="F45" s="1"/>
  <c r="M159" i="19"/>
  <c r="N159" i="31"/>
  <c r="L159"/>
  <c r="J159" i="13"/>
  <c r="J160" i="10"/>
  <c r="J160" i="4"/>
  <c r="J160" i="8"/>
  <c r="J153"/>
  <c r="K159" i="31"/>
  <c r="E159"/>
  <c r="E162"/>
  <c r="E152"/>
  <c r="J160" i="15"/>
  <c r="J160" i="18"/>
  <c r="J160" i="6"/>
  <c r="J160" i="12"/>
  <c r="O160" i="3"/>
  <c r="O152"/>
  <c r="J160"/>
  <c r="K153" i="26"/>
  <c r="E162" i="11"/>
  <c r="E159"/>
  <c r="E152"/>
  <c r="K152" i="29"/>
  <c r="K45" s="1"/>
  <c r="K159"/>
  <c r="K162"/>
  <c r="E153" i="28"/>
  <c r="M159" i="11"/>
  <c r="O160" i="28"/>
  <c r="O153"/>
  <c r="N159" i="11"/>
  <c r="O152" i="27"/>
  <c r="O159"/>
  <c r="O159" i="32"/>
  <c r="N159" i="28"/>
  <c r="O160" i="27"/>
  <c r="O153"/>
  <c r="L159" i="20"/>
  <c r="J159" i="1"/>
  <c r="O152" i="11"/>
  <c r="O152" i="20"/>
  <c r="O152" i="28"/>
  <c r="O160" i="20"/>
  <c r="O153"/>
  <c r="E153"/>
  <c r="E160"/>
  <c r="E160" i="19"/>
  <c r="E153"/>
  <c r="K160"/>
  <c r="K153"/>
  <c r="K160" i="18"/>
  <c r="E153"/>
  <c r="M153"/>
  <c r="O153"/>
  <c r="L160" i="15"/>
  <c r="J151"/>
  <c r="J152" s="1"/>
  <c r="E153"/>
  <c r="M153"/>
  <c r="N153"/>
  <c r="E153" i="13"/>
  <c r="O153"/>
  <c r="N153"/>
  <c r="M153"/>
  <c r="O160" i="11"/>
  <c r="O153"/>
  <c r="K160" i="12"/>
  <c r="E160"/>
  <c r="E153"/>
  <c r="L153"/>
  <c r="N153"/>
  <c r="O153"/>
  <c r="J151" i="10"/>
  <c r="J152" s="1"/>
  <c r="E153"/>
  <c r="N153"/>
  <c r="E153" i="8"/>
  <c r="K160"/>
  <c r="L153"/>
  <c r="O153"/>
  <c r="E153" i="6"/>
  <c r="E153" i="1"/>
  <c r="E160"/>
  <c r="K153" i="3"/>
  <c r="O153"/>
  <c r="O153" i="4"/>
  <c r="E153"/>
  <c r="E153" i="3"/>
  <c r="F152" i="18"/>
  <c r="F152" i="15"/>
  <c r="F152" i="10"/>
  <c r="F152" i="8"/>
  <c r="F153"/>
  <c r="L160" i="6"/>
  <c r="O160" i="4"/>
  <c r="J6" i="32"/>
  <c r="L160" i="18"/>
  <c r="N160"/>
  <c r="K160" i="3"/>
  <c r="K160" i="26"/>
  <c r="D49" i="30"/>
  <c r="D73" i="33"/>
  <c r="J49" i="30"/>
  <c r="O30" i="29"/>
  <c r="O44" s="1"/>
  <c r="O42"/>
  <c r="O39" s="1"/>
  <c r="J33"/>
  <c r="E161" i="1"/>
  <c r="J25" i="20"/>
  <c r="E161" i="12"/>
  <c r="L155" i="6"/>
  <c r="L157" s="1"/>
  <c r="L161"/>
  <c r="L162" s="1"/>
  <c r="J40" i="28"/>
  <c r="E158" i="13"/>
  <c r="E158" i="18"/>
  <c r="E158" i="15"/>
  <c r="E158" i="10"/>
  <c r="E158" i="8"/>
  <c r="E158" i="6"/>
  <c r="E158" i="4"/>
  <c r="E158" i="3"/>
  <c r="D148" i="31"/>
  <c r="L151" i="13"/>
  <c r="L45" s="1"/>
  <c r="I143" i="30"/>
  <c r="I180" s="1"/>
  <c r="N39" i="11"/>
  <c r="J25" i="31"/>
  <c r="J42"/>
  <c r="D9" i="29"/>
  <c r="D150" i="20"/>
  <c r="D148" s="1"/>
  <c r="D28" i="33"/>
  <c r="F22" i="32"/>
  <c r="F44" s="1"/>
  <c r="F22" i="31"/>
  <c r="F44" s="1"/>
  <c r="D6" i="33"/>
  <c r="F15"/>
  <c r="N39" i="32"/>
  <c r="F155" i="18"/>
  <c r="F157" s="1"/>
  <c r="F155" i="15"/>
  <c r="F157" s="1"/>
  <c r="F155" i="10"/>
  <c r="F157" s="1"/>
  <c r="E157"/>
  <c r="F155" i="8"/>
  <c r="F157" s="1"/>
  <c r="J42" i="32"/>
  <c r="J40"/>
  <c r="M39"/>
  <c r="J30"/>
  <c r="J28"/>
  <c r="D143" i="33"/>
  <c r="D143" i="32"/>
  <c r="D47" i="33"/>
  <c r="D29"/>
  <c r="D24"/>
  <c r="E22"/>
  <c r="E44" s="1"/>
  <c r="F22"/>
  <c r="F44" s="1"/>
  <c r="G22"/>
  <c r="I22"/>
  <c r="H22"/>
  <c r="M22" i="20"/>
  <c r="M44" s="1"/>
  <c r="L25" i="32"/>
  <c r="L175" s="1"/>
  <c r="M25"/>
  <c r="M175" s="1"/>
  <c r="M169" s="1"/>
  <c r="M15"/>
  <c r="O151"/>
  <c r="O45" s="1"/>
  <c r="K151" i="31"/>
  <c r="K45" s="1"/>
  <c r="J22"/>
  <c r="O151"/>
  <c r="O45" s="1"/>
  <c r="N39"/>
  <c r="N151"/>
  <c r="M39"/>
  <c r="J40"/>
  <c r="J30"/>
  <c r="M157" i="13"/>
  <c r="D150" i="11"/>
  <c r="D148" s="1"/>
  <c r="D150" i="28"/>
  <c r="D143"/>
  <c r="J39" i="20"/>
  <c r="D25" i="28"/>
  <c r="L161" i="27"/>
  <c r="L162" s="1"/>
  <c r="L155"/>
  <c r="L157" s="1"/>
  <c r="M34" i="30"/>
  <c r="N32"/>
  <c r="M42"/>
  <c r="N31"/>
  <c r="N171" s="1"/>
  <c r="L42"/>
  <c r="J37"/>
  <c r="N30" i="29"/>
  <c r="N40"/>
  <c r="O42" i="30"/>
  <c r="O39" s="1"/>
  <c r="O30"/>
  <c r="J33"/>
  <c r="N41" i="29"/>
  <c r="J41" s="1"/>
  <c r="J32"/>
  <c r="J42"/>
  <c r="D29"/>
  <c r="J29"/>
  <c r="M25"/>
  <c r="M175" s="1"/>
  <c r="M15"/>
  <c r="M18" i="30"/>
  <c r="M25" s="1"/>
  <c r="M27"/>
  <c r="O22"/>
  <c r="J39" i="19"/>
  <c r="J144" i="30"/>
  <c r="O143"/>
  <c r="O180" s="1"/>
  <c r="D14"/>
  <c r="G29"/>
  <c r="G176" s="1"/>
  <c r="D176" s="1"/>
  <c r="J21"/>
  <c r="L28"/>
  <c r="L174" s="1"/>
  <c r="J14"/>
  <c r="M29"/>
  <c r="M176" s="1"/>
  <c r="J176" s="1"/>
  <c r="J6" i="29"/>
  <c r="H13" i="30"/>
  <c r="D13" s="1"/>
  <c r="H58"/>
  <c r="D58" s="1"/>
  <c r="H28"/>
  <c r="H174" s="1"/>
  <c r="M143"/>
  <c r="M180" s="1"/>
  <c r="M39" i="11"/>
  <c r="J39" s="1"/>
  <c r="J40"/>
  <c r="I15" i="30"/>
  <c r="I24"/>
  <c r="I175" s="1"/>
  <c r="F25" i="29"/>
  <c r="F22" s="1"/>
  <c r="F44" s="1"/>
  <c r="F15"/>
  <c r="F18" i="30"/>
  <c r="F15" s="1"/>
  <c r="D19"/>
  <c r="D18" s="1"/>
  <c r="F26"/>
  <c r="D26" s="1"/>
  <c r="G22" i="29"/>
  <c r="D71" i="30"/>
  <c r="G73"/>
  <c r="D73" i="29"/>
  <c r="D24"/>
  <c r="E22"/>
  <c r="E44" s="1"/>
  <c r="K22" i="30"/>
  <c r="K44" s="1"/>
  <c r="L39" i="29"/>
  <c r="J31"/>
  <c r="M30"/>
  <c r="M40"/>
  <c r="H22"/>
  <c r="H6" i="30"/>
  <c r="H24"/>
  <c r="H175" s="1"/>
  <c r="G28"/>
  <c r="G174" s="1"/>
  <c r="D12"/>
  <c r="G6"/>
  <c r="D59"/>
  <c r="J25" i="28"/>
  <c r="M22"/>
  <c r="M44" s="1"/>
  <c r="N28" i="30"/>
  <c r="N174" s="1"/>
  <c r="N58"/>
  <c r="J58" s="1"/>
  <c r="N13"/>
  <c r="J13" s="1"/>
  <c r="N6"/>
  <c r="J12"/>
  <c r="F27"/>
  <c r="D27" s="1"/>
  <c r="F9"/>
  <c r="D11"/>
  <c r="D9" s="1"/>
  <c r="D22" i="11"/>
  <c r="D44" s="1"/>
  <c r="D45" s="1"/>
  <c r="O155" i="27"/>
  <c r="O157" s="1"/>
  <c r="O161"/>
  <c r="O162" s="1"/>
  <c r="J24" i="29"/>
  <c r="J15"/>
  <c r="M22"/>
  <c r="M15" i="30"/>
  <c r="J17"/>
  <c r="M24"/>
  <c r="M175" s="1"/>
  <c r="L6" i="29"/>
  <c r="L25"/>
  <c r="L22" s="1"/>
  <c r="L44" s="1"/>
  <c r="J10" i="30"/>
  <c r="J9" s="1"/>
  <c r="L9"/>
  <c r="L26"/>
  <c r="J26" s="1"/>
  <c r="I22" i="29"/>
  <c r="F143" i="30"/>
  <c r="F180" s="1"/>
  <c r="D146"/>
  <c r="J22" i="19"/>
  <c r="G24" i="30"/>
  <c r="G175" s="1"/>
  <c r="D17"/>
  <c r="G15"/>
  <c r="E24"/>
  <c r="D8"/>
  <c r="E6"/>
  <c r="L22" i="28"/>
  <c r="L44" s="1"/>
  <c r="J158" i="30"/>
  <c r="M31"/>
  <c r="M171" s="1"/>
  <c r="M170" s="1"/>
  <c r="L41"/>
  <c r="L34"/>
  <c r="J34" s="1"/>
  <c r="J36"/>
  <c r="D28" i="29"/>
  <c r="F24" i="30"/>
  <c r="D22" i="19"/>
  <c r="D44" s="1"/>
  <c r="D45" s="1"/>
  <c r="J20" i="30"/>
  <c r="J18" s="1"/>
  <c r="L18"/>
  <c r="L15" s="1"/>
  <c r="L27"/>
  <c r="N22" i="29"/>
  <c r="J22" i="27"/>
  <c r="J44" s="1"/>
  <c r="J45" s="1"/>
  <c r="J22" i="26"/>
  <c r="J44" s="1"/>
  <c r="J45" s="1"/>
  <c r="D22" i="27"/>
  <c r="D44" s="1"/>
  <c r="D45" s="1"/>
  <c r="D15" i="29"/>
  <c r="J8" i="30"/>
  <c r="D22" i="28"/>
  <c r="D44" s="1"/>
  <c r="D45" s="1"/>
  <c r="L22" i="11"/>
  <c r="L44" s="1"/>
  <c r="D6" i="29"/>
  <c r="J28" i="30"/>
  <c r="F39" i="18"/>
  <c r="G30"/>
  <c r="G44" s="1"/>
  <c r="G40"/>
  <c r="D31"/>
  <c r="H40" i="15"/>
  <c r="E157" i="3"/>
  <c r="E155" i="12"/>
  <c r="O161" i="4"/>
  <c r="O162" s="1"/>
  <c r="O155"/>
  <c r="O157" s="1"/>
  <c r="O161" i="11"/>
  <c r="O162" s="1"/>
  <c r="O155"/>
  <c r="O157" s="1"/>
  <c r="H40" i="18"/>
  <c r="F39" i="10"/>
  <c r="G30"/>
  <c r="G44" s="1"/>
  <c r="G40"/>
  <c r="D31"/>
  <c r="L155" i="15"/>
  <c r="L161"/>
  <c r="L162" s="1"/>
  <c r="L161" i="10"/>
  <c r="L162" s="1"/>
  <c r="L155"/>
  <c r="E157" i="18"/>
  <c r="O161" i="3"/>
  <c r="O162" s="1"/>
  <c r="O155"/>
  <c r="O157" s="1"/>
  <c r="F39" i="8"/>
  <c r="G30"/>
  <c r="G44" s="1"/>
  <c r="G40"/>
  <c r="D31"/>
  <c r="E158" i="27"/>
  <c r="K155" i="3"/>
  <c r="K161"/>
  <c r="J151"/>
  <c r="J152" s="1"/>
  <c r="E157" i="8"/>
  <c r="E157" i="4"/>
  <c r="E157" i="15"/>
  <c r="H40" i="10"/>
  <c r="K155" i="18"/>
  <c r="K161"/>
  <c r="K162" s="1"/>
  <c r="J151"/>
  <c r="J152" s="1"/>
  <c r="E155" i="1"/>
  <c r="O161" i="20"/>
  <c r="O162" s="1"/>
  <c r="O155"/>
  <c r="O157" s="1"/>
  <c r="O161" i="28"/>
  <c r="O162" s="1"/>
  <c r="O155"/>
  <c r="O157" s="1"/>
  <c r="E157"/>
  <c r="H40" i="8"/>
  <c r="E158" i="29"/>
  <c r="E158" i="19"/>
  <c r="E157" i="13"/>
  <c r="K155" i="26"/>
  <c r="K161"/>
  <c r="H40" i="2"/>
  <c r="E157" i="20"/>
  <c r="K155" i="19"/>
  <c r="K161"/>
  <c r="K162" s="1"/>
  <c r="F39" i="15"/>
  <c r="G30"/>
  <c r="G44" s="1"/>
  <c r="G40"/>
  <c r="D31"/>
  <c r="E157" i="6"/>
  <c r="E157" i="19"/>
  <c r="K161" i="12"/>
  <c r="K155"/>
  <c r="K161" i="8"/>
  <c r="K155"/>
  <c r="O175" i="33" l="1"/>
  <c r="O169" s="1"/>
  <c r="O177" s="1"/>
  <c r="O178" s="1"/>
  <c r="O22"/>
  <c r="O44" s="1"/>
  <c r="F178" i="15"/>
  <c r="N159" i="33"/>
  <c r="L175" i="29"/>
  <c r="G169" i="15"/>
  <c r="M169" i="30"/>
  <c r="D174"/>
  <c r="L178" i="13"/>
  <c r="M169" i="29"/>
  <c r="M22" i="33"/>
  <c r="M44" s="1"/>
  <c r="M175"/>
  <c r="F178" i="8"/>
  <c r="J24" i="33"/>
  <c r="L15"/>
  <c r="L25"/>
  <c r="G169" i="8"/>
  <c r="J177" i="18"/>
  <c r="J178" s="1"/>
  <c r="G169"/>
  <c r="J153"/>
  <c r="K152" i="31"/>
  <c r="K163" i="19"/>
  <c r="K163" i="18"/>
  <c r="J153" i="15"/>
  <c r="L163"/>
  <c r="O178" i="29"/>
  <c r="N152" i="31"/>
  <c r="N45"/>
  <c r="N160" s="1"/>
  <c r="L152" i="13"/>
  <c r="M178" i="19"/>
  <c r="M177" i="31"/>
  <c r="M178" s="1"/>
  <c r="J44" i="19"/>
  <c r="J44" i="31"/>
  <c r="J45" s="1"/>
  <c r="D175"/>
  <c r="D169" s="1"/>
  <c r="F169"/>
  <c r="L177"/>
  <c r="O163" i="10"/>
  <c r="L160"/>
  <c r="G169"/>
  <c r="D175" i="32"/>
  <c r="D169" s="1"/>
  <c r="F169"/>
  <c r="F175" i="29"/>
  <c r="J153" i="10"/>
  <c r="L163"/>
  <c r="M169" i="33"/>
  <c r="J175" i="32"/>
  <c r="J169" s="1"/>
  <c r="J174" i="30"/>
  <c r="L169" i="32"/>
  <c r="J175" i="11"/>
  <c r="J169" s="1"/>
  <c r="L169"/>
  <c r="N44" i="29"/>
  <c r="N159" s="1"/>
  <c r="O44" i="30"/>
  <c r="O177"/>
  <c r="O178" s="1"/>
  <c r="J30" i="29"/>
  <c r="M44"/>
  <c r="J171" i="30"/>
  <c r="N160" i="19"/>
  <c r="N153"/>
  <c r="O163" i="4"/>
  <c r="D180" i="30"/>
  <c r="O163" i="20"/>
  <c r="O163" i="27"/>
  <c r="O163" i="28"/>
  <c r="O163" i="11"/>
  <c r="L153" i="6"/>
  <c r="L163"/>
  <c r="F153" i="18"/>
  <c r="F153" i="10"/>
  <c r="J6" i="30"/>
  <c r="J27"/>
  <c r="J159" i="19"/>
  <c r="M159" i="31"/>
  <c r="J159"/>
  <c r="O159"/>
  <c r="O152"/>
  <c r="J160" i="13"/>
  <c r="J153" i="3"/>
  <c r="K159" i="32"/>
  <c r="E159"/>
  <c r="E152"/>
  <c r="E162"/>
  <c r="J159" i="26"/>
  <c r="J159" i="27"/>
  <c r="L159" i="11"/>
  <c r="L159" i="26"/>
  <c r="M159" i="27"/>
  <c r="M159" i="28"/>
  <c r="O159" i="29"/>
  <c r="O160" i="32"/>
  <c r="O153"/>
  <c r="M159" i="20"/>
  <c r="N159" i="32"/>
  <c r="J160" i="1"/>
  <c r="O152" i="32"/>
  <c r="O153" i="31"/>
  <c r="O160"/>
  <c r="K153"/>
  <c r="K160"/>
  <c r="K153" i="18"/>
  <c r="L153" i="15"/>
  <c r="L160" i="13"/>
  <c r="K153" i="12"/>
  <c r="L153" i="10"/>
  <c r="K153" i="8"/>
  <c r="F153" i="15"/>
  <c r="D22" i="32"/>
  <c r="D44" s="1"/>
  <c r="D45" s="1"/>
  <c r="D73" i="30"/>
  <c r="J39" i="32"/>
  <c r="J22" i="20"/>
  <c r="J44" s="1"/>
  <c r="J45" s="1"/>
  <c r="E161" i="18"/>
  <c r="E161" i="15"/>
  <c r="E161" i="19"/>
  <c r="E161" i="13"/>
  <c r="E158" i="30"/>
  <c r="E161" i="10"/>
  <c r="E161" i="8"/>
  <c r="E160" i="27"/>
  <c r="E161"/>
  <c r="E161" i="6"/>
  <c r="E161" i="4"/>
  <c r="E161" i="3"/>
  <c r="E151" i="31"/>
  <c r="E45" s="1"/>
  <c r="L161" i="13"/>
  <c r="L162" s="1"/>
  <c r="L155"/>
  <c r="J151"/>
  <c r="J152" s="1"/>
  <c r="D148" i="28"/>
  <c r="J24" i="30"/>
  <c r="D22" i="31"/>
  <c r="D44" s="1"/>
  <c r="D45" s="1"/>
  <c r="F25" i="30"/>
  <c r="D25" s="1"/>
  <c r="D15"/>
  <c r="J39" i="31"/>
  <c r="E158"/>
  <c r="D150" i="33"/>
  <c r="D148" s="1"/>
  <c r="E155" i="31"/>
  <c r="D150" i="32"/>
  <c r="D148" s="1"/>
  <c r="D150" i="29"/>
  <c r="D148" s="1"/>
  <c r="E151" i="32"/>
  <c r="E45" s="1"/>
  <c r="D22" i="33"/>
  <c r="D44" s="1"/>
  <c r="D45" s="1"/>
  <c r="M22" i="32"/>
  <c r="M44" s="1"/>
  <c r="J25"/>
  <c r="L22"/>
  <c r="L44" s="1"/>
  <c r="O155"/>
  <c r="O157" s="1"/>
  <c r="O161"/>
  <c r="O162" s="1"/>
  <c r="K161" i="31"/>
  <c r="K162" s="1"/>
  <c r="K155"/>
  <c r="K157" s="1"/>
  <c r="D150" i="30"/>
  <c r="L151" i="31"/>
  <c r="O161"/>
  <c r="O162" s="1"/>
  <c r="O155"/>
  <c r="O157" s="1"/>
  <c r="N161"/>
  <c r="N162" s="1"/>
  <c r="N155"/>
  <c r="N157" s="1"/>
  <c r="M151"/>
  <c r="O151" i="29"/>
  <c r="L151" i="20"/>
  <c r="D6" i="30"/>
  <c r="J42"/>
  <c r="N40"/>
  <c r="N30"/>
  <c r="N41"/>
  <c r="J41" s="1"/>
  <c r="J32"/>
  <c r="N39" i="29"/>
  <c r="J29" i="30"/>
  <c r="D29"/>
  <c r="F6"/>
  <c r="J22" i="29"/>
  <c r="J44" s="1"/>
  <c r="J45" s="1"/>
  <c r="J22" i="11"/>
  <c r="J44" s="1"/>
  <c r="J45" s="1"/>
  <c r="J31" i="30"/>
  <c r="M40"/>
  <c r="M30"/>
  <c r="E22"/>
  <c r="E44" s="1"/>
  <c r="D24"/>
  <c r="E151" i="11"/>
  <c r="E45" s="1"/>
  <c r="D28" i="30"/>
  <c r="J40" i="29"/>
  <c r="M39"/>
  <c r="D25"/>
  <c r="J15" i="30"/>
  <c r="L151" i="26"/>
  <c r="L39" i="30"/>
  <c r="J22" i="28"/>
  <c r="J44" s="1"/>
  <c r="J45" s="1"/>
  <c r="G22" i="30"/>
  <c r="M151" i="19"/>
  <c r="D143" i="30"/>
  <c r="L6"/>
  <c r="L25"/>
  <c r="L175" s="1"/>
  <c r="J175" s="1"/>
  <c r="J169" s="1"/>
  <c r="J25" i="29"/>
  <c r="M22" i="30"/>
  <c r="N22"/>
  <c r="H22"/>
  <c r="D22" i="29"/>
  <c r="D44" s="1"/>
  <c r="D45" s="1"/>
  <c r="I22" i="30"/>
  <c r="K157" i="8"/>
  <c r="J157" s="1"/>
  <c r="J155"/>
  <c r="J161"/>
  <c r="F158"/>
  <c r="F159" s="1"/>
  <c r="D40" i="15"/>
  <c r="F158" i="10"/>
  <c r="F159" s="1"/>
  <c r="K157" i="26"/>
  <c r="E158" i="20"/>
  <c r="J161" i="18"/>
  <c r="K157"/>
  <c r="J157" s="1"/>
  <c r="J155"/>
  <c r="J161" i="3"/>
  <c r="E158" i="28"/>
  <c r="D40" i="8"/>
  <c r="F158" i="15"/>
  <c r="F159" s="1"/>
  <c r="L157" i="10"/>
  <c r="J157" s="1"/>
  <c r="J155"/>
  <c r="J161" i="15"/>
  <c r="L157"/>
  <c r="J157" s="1"/>
  <c r="J155"/>
  <c r="D40" i="10"/>
  <c r="D40" i="18"/>
  <c r="K157" i="12"/>
  <c r="K157" i="19"/>
  <c r="E157" i="1"/>
  <c r="F158" i="18"/>
  <c r="F159" s="1"/>
  <c r="K157" i="3"/>
  <c r="J157" s="1"/>
  <c r="J155"/>
  <c r="J161" i="10"/>
  <c r="E157" i="12"/>
  <c r="O159" i="33" l="1"/>
  <c r="O151"/>
  <c r="O152" s="1"/>
  <c r="L175"/>
  <c r="J25"/>
  <c r="L22"/>
  <c r="M159"/>
  <c r="J175" i="29"/>
  <c r="J169" s="1"/>
  <c r="L169"/>
  <c r="J45" i="19"/>
  <c r="Q45"/>
  <c r="N153" i="31"/>
  <c r="K163"/>
  <c r="J163" i="18"/>
  <c r="J162"/>
  <c r="J163" i="15"/>
  <c r="J162"/>
  <c r="L152" i="31"/>
  <c r="L45"/>
  <c r="L153" s="1"/>
  <c r="M152"/>
  <c r="M45"/>
  <c r="M153" s="1"/>
  <c r="M152" i="19"/>
  <c r="M45"/>
  <c r="M160" s="1"/>
  <c r="J177" i="31"/>
  <c r="J178" s="1"/>
  <c r="N163"/>
  <c r="L163" i="13"/>
  <c r="J153"/>
  <c r="O163" i="31"/>
  <c r="L178"/>
  <c r="D175" i="29"/>
  <c r="D169" s="1"/>
  <c r="F169"/>
  <c r="F175" i="30"/>
  <c r="J163" i="10"/>
  <c r="J162"/>
  <c r="L169" i="30"/>
  <c r="J162" i="8"/>
  <c r="J163"/>
  <c r="N44" i="30"/>
  <c r="M44"/>
  <c r="E163" i="31"/>
  <c r="E163" i="32"/>
  <c r="E163" i="11"/>
  <c r="O163" i="32"/>
  <c r="L152" i="26"/>
  <c r="J160" i="31"/>
  <c r="J160" i="19"/>
  <c r="J162" i="3"/>
  <c r="K159" i="30"/>
  <c r="K152"/>
  <c r="K162"/>
  <c r="E160" i="32"/>
  <c r="E153"/>
  <c r="E159" i="29"/>
  <c r="E162"/>
  <c r="E152"/>
  <c r="E45" s="1"/>
  <c r="E159" i="33"/>
  <c r="E152"/>
  <c r="E162"/>
  <c r="L159" i="28"/>
  <c r="J159" i="11"/>
  <c r="L159" i="29"/>
  <c r="J160" i="27"/>
  <c r="J160" i="26"/>
  <c r="J159" i="28"/>
  <c r="J159" i="29"/>
  <c r="L152" i="20"/>
  <c r="M159" i="32"/>
  <c r="O159" i="30"/>
  <c r="J159" i="20"/>
  <c r="M159" i="29"/>
  <c r="O152"/>
  <c r="O45" s="1"/>
  <c r="E153" i="31"/>
  <c r="E160"/>
  <c r="L153" i="13"/>
  <c r="E160" i="11"/>
  <c r="E153"/>
  <c r="J39" i="29"/>
  <c r="E161" i="11"/>
  <c r="F22" i="30"/>
  <c r="F44" s="1"/>
  <c r="E161" i="28"/>
  <c r="E160"/>
  <c r="E161" i="31"/>
  <c r="E158" i="32"/>
  <c r="E158" i="33" s="1"/>
  <c r="E161" i="20"/>
  <c r="E151" i="29"/>
  <c r="L157" i="13"/>
  <c r="J157" s="1"/>
  <c r="J155"/>
  <c r="J161"/>
  <c r="J156" i="18"/>
  <c r="D148" i="30"/>
  <c r="E157" i="31"/>
  <c r="E151" i="33"/>
  <c r="E45" s="1"/>
  <c r="E155" i="32"/>
  <c r="J22"/>
  <c r="J44" s="1"/>
  <c r="J45" s="1"/>
  <c r="J156" i="15"/>
  <c r="L161" i="31"/>
  <c r="L162" s="1"/>
  <c r="L155"/>
  <c r="L157" s="1"/>
  <c r="O155" i="29"/>
  <c r="O157" s="1"/>
  <c r="O161"/>
  <c r="O162" s="1"/>
  <c r="M161" i="31"/>
  <c r="M162" s="1"/>
  <c r="M155"/>
  <c r="J151"/>
  <c r="J152" s="1"/>
  <c r="L161" i="20"/>
  <c r="L162" s="1"/>
  <c r="L155"/>
  <c r="J30" i="30"/>
  <c r="N39"/>
  <c r="J25"/>
  <c r="L22"/>
  <c r="L44" s="1"/>
  <c r="L155" i="26"/>
  <c r="L161"/>
  <c r="L162" s="1"/>
  <c r="E155" i="11"/>
  <c r="E157" s="1"/>
  <c r="D22" i="30"/>
  <c r="D44" s="1"/>
  <c r="D45" s="1"/>
  <c r="L151" i="11"/>
  <c r="L151" i="29"/>
  <c r="E155"/>
  <c r="E157" s="1"/>
  <c r="M161" i="19"/>
  <c r="M162" s="1"/>
  <c r="M155"/>
  <c r="J151"/>
  <c r="J152" s="1"/>
  <c r="L151" i="28"/>
  <c r="J40" i="30"/>
  <c r="M39"/>
  <c r="F161" i="18"/>
  <c r="F163" s="1"/>
  <c r="F161" i="15"/>
  <c r="F163" s="1"/>
  <c r="J156" i="3"/>
  <c r="J156" i="10"/>
  <c r="J156" i="8"/>
  <c r="F161" i="10"/>
  <c r="F163" s="1"/>
  <c r="F161" i="8"/>
  <c r="F163" s="1"/>
  <c r="E161" i="32" l="1"/>
  <c r="L44" i="33"/>
  <c r="J22"/>
  <c r="J44" s="1"/>
  <c r="L169"/>
  <c r="J175"/>
  <c r="J169" s="1"/>
  <c r="O161"/>
  <c r="O162" s="1"/>
  <c r="O45"/>
  <c r="O155"/>
  <c r="O157" s="1"/>
  <c r="L160" i="31"/>
  <c r="M160"/>
  <c r="M153" i="19"/>
  <c r="O153" i="29"/>
  <c r="O47" i="30" s="1"/>
  <c r="O46" s="1"/>
  <c r="O151" s="1"/>
  <c r="O45" s="1"/>
  <c r="J163" i="13"/>
  <c r="J162"/>
  <c r="M163" i="31"/>
  <c r="J153" i="19"/>
  <c r="J153" i="31"/>
  <c r="M163" i="19"/>
  <c r="L163" i="31"/>
  <c r="D175" i="30"/>
  <c r="D169" s="1"/>
  <c r="F169"/>
  <c r="E163" i="33"/>
  <c r="E163" i="29"/>
  <c r="O163"/>
  <c r="L152"/>
  <c r="L45" s="1"/>
  <c r="L152" i="28"/>
  <c r="E162" i="30"/>
  <c r="E159"/>
  <c r="E152"/>
  <c r="E160" i="33"/>
  <c r="E153" i="29"/>
  <c r="E47" i="30" s="1"/>
  <c r="E46" s="1"/>
  <c r="M159"/>
  <c r="L159" i="32"/>
  <c r="N159" i="30"/>
  <c r="J160" i="20"/>
  <c r="J160" i="29"/>
  <c r="L152" i="11"/>
  <c r="J159" i="32"/>
  <c r="J160" i="28"/>
  <c r="J160" i="11"/>
  <c r="F162" i="18"/>
  <c r="F162" i="15"/>
  <c r="F162" i="10"/>
  <c r="F162" i="8"/>
  <c r="J39" i="30"/>
  <c r="E161" i="29"/>
  <c r="J156" i="13"/>
  <c r="E157" i="32"/>
  <c r="E155" i="33"/>
  <c r="E161"/>
  <c r="L151" i="32"/>
  <c r="J161" i="31"/>
  <c r="M157"/>
  <c r="J157" s="1"/>
  <c r="J155"/>
  <c r="L157" i="20"/>
  <c r="L155" i="29"/>
  <c r="L161"/>
  <c r="L162" s="1"/>
  <c r="L161" i="11"/>
  <c r="L162" s="1"/>
  <c r="L155"/>
  <c r="L161" i="28"/>
  <c r="L162" s="1"/>
  <c r="L155"/>
  <c r="M157" i="19"/>
  <c r="J157" s="1"/>
  <c r="J155"/>
  <c r="J161"/>
  <c r="L157" i="26"/>
  <c r="J22" i="30"/>
  <c r="J44" s="1"/>
  <c r="J45" s="1"/>
  <c r="H32" i="8"/>
  <c r="H172" s="1"/>
  <c r="G34"/>
  <c r="G151" s="1"/>
  <c r="G45" s="1"/>
  <c r="G42"/>
  <c r="D37"/>
  <c r="H32" i="10"/>
  <c r="H172" s="1"/>
  <c r="G34"/>
  <c r="G42"/>
  <c r="D37"/>
  <c r="H32" i="15"/>
  <c r="H172" s="1"/>
  <c r="G34"/>
  <c r="G42"/>
  <c r="D37"/>
  <c r="H32" i="18"/>
  <c r="H172" s="1"/>
  <c r="G42"/>
  <c r="G34"/>
  <c r="D37"/>
  <c r="D172" i="15" l="1"/>
  <c r="H170"/>
  <c r="G177"/>
  <c r="D172" i="8"/>
  <c r="H170"/>
  <c r="G177"/>
  <c r="O163" i="33"/>
  <c r="O153"/>
  <c r="O160"/>
  <c r="J45"/>
  <c r="J159"/>
  <c r="L159"/>
  <c r="L151"/>
  <c r="D172" i="18"/>
  <c r="H170"/>
  <c r="G177"/>
  <c r="O160" i="29"/>
  <c r="E153" i="33"/>
  <c r="E160" i="29"/>
  <c r="J162" i="19"/>
  <c r="J163"/>
  <c r="J162" i="31"/>
  <c r="J163"/>
  <c r="D172" i="10"/>
  <c r="H170"/>
  <c r="G177"/>
  <c r="O152" i="30"/>
  <c r="O155"/>
  <c r="O157" s="1"/>
  <c r="O161"/>
  <c r="O162" s="1"/>
  <c r="L152" i="32"/>
  <c r="G151" i="18"/>
  <c r="G45" s="1"/>
  <c r="G151" i="15"/>
  <c r="G45" s="1"/>
  <c r="G151" i="10"/>
  <c r="G45" s="1"/>
  <c r="L159" i="30"/>
  <c r="J160" i="32"/>
  <c r="J159" i="30"/>
  <c r="G152" i="18"/>
  <c r="G152" i="10"/>
  <c r="G152" i="8"/>
  <c r="G155"/>
  <c r="G157" s="1"/>
  <c r="E157" i="33"/>
  <c r="L161" i="32"/>
  <c r="L162" s="1"/>
  <c r="L155"/>
  <c r="J156" i="31"/>
  <c r="J156" i="19"/>
  <c r="L157" i="28"/>
  <c r="L157" i="11"/>
  <c r="L157" i="29"/>
  <c r="G39" i="18"/>
  <c r="G39" i="15"/>
  <c r="H41"/>
  <c r="D32"/>
  <c r="H30"/>
  <c r="H44" s="1"/>
  <c r="G39" i="10"/>
  <c r="H41"/>
  <c r="D32"/>
  <c r="H30"/>
  <c r="H44" s="1"/>
  <c r="H41" i="18"/>
  <c r="D32"/>
  <c r="H30"/>
  <c r="H44" s="1"/>
  <c r="G39" i="8"/>
  <c r="H41"/>
  <c r="D32"/>
  <c r="H30"/>
  <c r="H44" s="1"/>
  <c r="G178" l="1"/>
  <c r="G178" i="15"/>
  <c r="L152" i="33"/>
  <c r="L161"/>
  <c r="L155"/>
  <c r="J160"/>
  <c r="H169" i="8"/>
  <c r="H169" i="15"/>
  <c r="G178" i="18"/>
  <c r="H169"/>
  <c r="G155" i="10"/>
  <c r="G157" s="1"/>
  <c r="G178"/>
  <c r="H169"/>
  <c r="O153" i="30"/>
  <c r="O160"/>
  <c r="O163"/>
  <c r="G155" i="15"/>
  <c r="G157" s="1"/>
  <c r="G155" i="18"/>
  <c r="G157" s="1"/>
  <c r="G152" i="15"/>
  <c r="E151" i="30"/>
  <c r="E45" s="1"/>
  <c r="J160"/>
  <c r="G153" i="18"/>
  <c r="G153" i="15"/>
  <c r="G153" i="10"/>
  <c r="G153" i="8"/>
  <c r="L157" i="32"/>
  <c r="G158" i="10"/>
  <c r="G159" s="1"/>
  <c r="G158" i="8"/>
  <c r="G159" s="1"/>
  <c r="D41" i="10"/>
  <c r="D41" i="15"/>
  <c r="D41" i="8"/>
  <c r="G158" i="15"/>
  <c r="G159" s="1"/>
  <c r="D41" i="18"/>
  <c r="G158"/>
  <c r="G159" s="1"/>
  <c r="L157" i="33" l="1"/>
  <c r="L162"/>
  <c r="E161" i="30"/>
  <c r="E155"/>
  <c r="E157" s="1"/>
  <c r="G161" i="18"/>
  <c r="G163" s="1"/>
  <c r="G161" i="10"/>
  <c r="G163" s="1"/>
  <c r="G161" i="15"/>
  <c r="G163" s="1"/>
  <c r="G161" i="8"/>
  <c r="G163" s="1"/>
  <c r="E163" i="30" l="1"/>
  <c r="E153"/>
  <c r="E160"/>
  <c r="G162" i="18"/>
  <c r="G162" i="15"/>
  <c r="G162" i="10"/>
  <c r="G162" i="8"/>
  <c r="H34" i="18"/>
  <c r="I33"/>
  <c r="I173" s="1"/>
  <c r="H43"/>
  <c r="D38"/>
  <c r="I33" i="10"/>
  <c r="I173" s="1"/>
  <c r="H34"/>
  <c r="H43"/>
  <c r="D38"/>
  <c r="I33" i="15"/>
  <c r="I173" s="1"/>
  <c r="H34"/>
  <c r="H43"/>
  <c r="D38"/>
  <c r="I33" i="8"/>
  <c r="I173" s="1"/>
  <c r="H34"/>
  <c r="H151" s="1"/>
  <c r="H45" s="1"/>
  <c r="H43"/>
  <c r="D38"/>
  <c r="D173" i="15" l="1"/>
  <c r="I170"/>
  <c r="H177"/>
  <c r="D173" i="8"/>
  <c r="I170"/>
  <c r="H177"/>
  <c r="D173" i="18"/>
  <c r="I170"/>
  <c r="H177"/>
  <c r="D173" i="10"/>
  <c r="I170"/>
  <c r="H177"/>
  <c r="H151" i="15"/>
  <c r="H45" s="1"/>
  <c r="H151" i="10"/>
  <c r="H45" s="1"/>
  <c r="H151" i="18"/>
  <c r="H45" s="1"/>
  <c r="H152" i="15"/>
  <c r="H152" i="10"/>
  <c r="H152" i="8"/>
  <c r="H155" i="10"/>
  <c r="H157" s="1"/>
  <c r="H155" i="8"/>
  <c r="H157" s="1"/>
  <c r="D43"/>
  <c r="H39"/>
  <c r="I42"/>
  <c r="D33"/>
  <c r="I30"/>
  <c r="I44" s="1"/>
  <c r="I151" s="1"/>
  <c r="I45" s="1"/>
  <c r="D34" i="15"/>
  <c r="D34" i="10"/>
  <c r="I30" i="18"/>
  <c r="I42"/>
  <c r="D33"/>
  <c r="D34" i="8"/>
  <c r="D43" i="15"/>
  <c r="H39"/>
  <c r="I42"/>
  <c r="D33"/>
  <c r="I30"/>
  <c r="D43" i="10"/>
  <c r="H39"/>
  <c r="I42"/>
  <c r="D33"/>
  <c r="I30"/>
  <c r="D43" i="18"/>
  <c r="H39"/>
  <c r="D34"/>
  <c r="I44" i="15" l="1"/>
  <c r="I151" s="1"/>
  <c r="I45" s="1"/>
  <c r="I169" i="8"/>
  <c r="D170"/>
  <c r="I169" i="15"/>
  <c r="D170"/>
  <c r="H178" i="8"/>
  <c r="H178" i="15"/>
  <c r="I44" i="18"/>
  <c r="I151" s="1"/>
  <c r="I45" s="1"/>
  <c r="H178"/>
  <c r="I169"/>
  <c r="D170"/>
  <c r="H178" i="10"/>
  <c r="I44"/>
  <c r="I151" s="1"/>
  <c r="I45" s="1"/>
  <c r="I169"/>
  <c r="I177" s="1"/>
  <c r="I178" s="1"/>
  <c r="D170"/>
  <c r="H155" i="18"/>
  <c r="H157" s="1"/>
  <c r="H152"/>
  <c r="H155" i="15"/>
  <c r="H157" s="1"/>
  <c r="H153" i="18"/>
  <c r="H153" i="15"/>
  <c r="H153" i="10"/>
  <c r="H153" i="8"/>
  <c r="H158" i="18"/>
  <c r="H159" s="1"/>
  <c r="I39" i="10"/>
  <c r="D42"/>
  <c r="H158" i="8"/>
  <c r="H159" s="1"/>
  <c r="I39" i="18"/>
  <c r="D39" s="1"/>
  <c r="D42"/>
  <c r="D30"/>
  <c r="H158" i="10"/>
  <c r="H159" s="1"/>
  <c r="H158" i="15"/>
  <c r="H159" s="1"/>
  <c r="D30" i="10"/>
  <c r="D30" i="15"/>
  <c r="I39"/>
  <c r="D39" s="1"/>
  <c r="D42"/>
  <c r="D30" i="8"/>
  <c r="I39"/>
  <c r="D39" s="1"/>
  <c r="D42"/>
  <c r="D39" i="10"/>
  <c r="I177" i="15" l="1"/>
  <c r="D177" s="1"/>
  <c r="D178" s="1"/>
  <c r="I178"/>
  <c r="I177" i="8"/>
  <c r="D177" s="1"/>
  <c r="D178" s="1"/>
  <c r="I177" i="18"/>
  <c r="D177" s="1"/>
  <c r="D178" s="1"/>
  <c r="D177" i="10"/>
  <c r="D178" s="1"/>
  <c r="I152" i="18"/>
  <c r="I152" i="15"/>
  <c r="I152" i="10"/>
  <c r="I155" i="18"/>
  <c r="D151"/>
  <c r="I155" i="15"/>
  <c r="D151"/>
  <c r="I155" i="10"/>
  <c r="D151"/>
  <c r="I155" i="8"/>
  <c r="D151"/>
  <c r="H161" i="15"/>
  <c r="H163" s="1"/>
  <c r="H161" i="10"/>
  <c r="H163" s="1"/>
  <c r="H161" i="8"/>
  <c r="H163" s="1"/>
  <c r="H161" i="18"/>
  <c r="H163" s="1"/>
  <c r="I178" l="1"/>
  <c r="I178" i="8"/>
  <c r="I152"/>
  <c r="H162" i="18"/>
  <c r="D152"/>
  <c r="D153"/>
  <c r="I153"/>
  <c r="H162" i="15"/>
  <c r="D152"/>
  <c r="D153"/>
  <c r="I153"/>
  <c r="I153" i="10"/>
  <c r="H162"/>
  <c r="D152"/>
  <c r="D153"/>
  <c r="I153" i="8"/>
  <c r="H162"/>
  <c r="D152"/>
  <c r="D153"/>
  <c r="I158" i="15"/>
  <c r="I159" s="1"/>
  <c r="I158" i="18"/>
  <c r="I158" i="10"/>
  <c r="I158" i="8"/>
  <c r="D158" i="10"/>
  <c r="I157" i="18"/>
  <c r="D157" s="1"/>
  <c r="D155"/>
  <c r="I157" i="15"/>
  <c r="D157" s="1"/>
  <c r="D155"/>
  <c r="I157" i="10"/>
  <c r="D157" s="1"/>
  <c r="D155"/>
  <c r="I157" i="8"/>
  <c r="D157" s="1"/>
  <c r="D155"/>
  <c r="I161" i="18" l="1"/>
  <c r="I163" s="1"/>
  <c r="I159"/>
  <c r="D159" i="10"/>
  <c r="D160"/>
  <c r="I161"/>
  <c r="I163" s="1"/>
  <c r="I159"/>
  <c r="I161" i="8"/>
  <c r="I163" s="1"/>
  <c r="I159"/>
  <c r="D161" i="18"/>
  <c r="D163" s="1"/>
  <c r="D158" i="8"/>
  <c r="I161" i="15"/>
  <c r="I163" s="1"/>
  <c r="D158"/>
  <c r="D158" i="18"/>
  <c r="D156"/>
  <c r="D156" i="15"/>
  <c r="D156" i="10"/>
  <c r="D156" i="8"/>
  <c r="D162" i="18" l="1"/>
  <c r="I162"/>
  <c r="D159"/>
  <c r="D160"/>
  <c r="D159" i="15"/>
  <c r="D160"/>
  <c r="I162"/>
  <c r="I162" i="10"/>
  <c r="D161"/>
  <c r="D163" s="1"/>
  <c r="I162" i="8"/>
  <c r="D161"/>
  <c r="D163" s="1"/>
  <c r="D159"/>
  <c r="D160"/>
  <c r="D161" i="15"/>
  <c r="D163" s="1"/>
  <c r="D162" l="1"/>
  <c r="D162" i="10"/>
  <c r="D162" i="8"/>
  <c r="D36" i="6" l="1"/>
  <c r="F41"/>
  <c r="F42"/>
  <c r="H31"/>
  <c r="H171" s="1"/>
  <c r="F34"/>
  <c r="G31"/>
  <c r="G171" s="1"/>
  <c r="D171" l="1"/>
  <c r="G170"/>
  <c r="F177"/>
  <c r="F151"/>
  <c r="F45" s="1"/>
  <c r="G31" i="12"/>
  <c r="G171" s="1"/>
  <c r="H31"/>
  <c r="H171" s="1"/>
  <c r="F155" i="6"/>
  <c r="F157" s="1"/>
  <c r="G40"/>
  <c r="D31"/>
  <c r="G30"/>
  <c r="G44" s="1"/>
  <c r="H40"/>
  <c r="F39"/>
  <c r="F178" l="1"/>
  <c r="G169"/>
  <c r="F152"/>
  <c r="G170" i="12"/>
  <c r="D171"/>
  <c r="F177"/>
  <c r="F153" i="6"/>
  <c r="F37" i="12"/>
  <c r="F42" s="1"/>
  <c r="F36"/>
  <c r="G30"/>
  <c r="G44" s="1"/>
  <c r="D31"/>
  <c r="G40"/>
  <c r="H40"/>
  <c r="D40" i="6"/>
  <c r="F158"/>
  <c r="F159" s="1"/>
  <c r="F178" i="12" l="1"/>
  <c r="G169"/>
  <c r="F34"/>
  <c r="F151" s="1"/>
  <c r="F45" s="1"/>
  <c r="F41"/>
  <c r="F39" s="1"/>
  <c r="D36"/>
  <c r="F161" i="6"/>
  <c r="F163" s="1"/>
  <c r="F158" i="12"/>
  <c r="F159" s="1"/>
  <c r="D40"/>
  <c r="F152" l="1"/>
  <c r="F162" i="6"/>
  <c r="F155" i="12"/>
  <c r="F161"/>
  <c r="F162" s="1"/>
  <c r="F157"/>
  <c r="G42" i="6"/>
  <c r="G34"/>
  <c r="H32"/>
  <c r="H172" s="1"/>
  <c r="D37"/>
  <c r="D172" l="1"/>
  <c r="H170"/>
  <c r="G177"/>
  <c r="F163" i="12"/>
  <c r="G151" i="6"/>
  <c r="G45" s="1"/>
  <c r="F160" i="12"/>
  <c r="F153"/>
  <c r="G152" i="6"/>
  <c r="H32" i="12"/>
  <c r="H172" s="1"/>
  <c r="G155" i="6"/>
  <c r="G157" s="1"/>
  <c r="D32"/>
  <c r="H41"/>
  <c r="H30"/>
  <c r="H44" s="1"/>
  <c r="G39"/>
  <c r="H169" l="1"/>
  <c r="G178"/>
  <c r="D172" i="12"/>
  <c r="H170"/>
  <c r="G177"/>
  <c r="G153" i="6"/>
  <c r="G37" i="12"/>
  <c r="H30"/>
  <c r="H44" s="1"/>
  <c r="G158" i="6"/>
  <c r="G159" s="1"/>
  <c r="D32" i="12"/>
  <c r="H41"/>
  <c r="D41" i="6"/>
  <c r="G178" i="12" l="1"/>
  <c r="H169"/>
  <c r="G34"/>
  <c r="G151" s="1"/>
  <c r="G45" s="1"/>
  <c r="G42"/>
  <c r="G39" s="1"/>
  <c r="D37"/>
  <c r="D41"/>
  <c r="G161" i="6"/>
  <c r="G163" s="1"/>
  <c r="G158" i="12"/>
  <c r="G162" i="6" l="1"/>
  <c r="G161" i="12"/>
  <c r="G162" s="1"/>
  <c r="G159"/>
  <c r="G155"/>
  <c r="G157" s="1"/>
  <c r="G152"/>
  <c r="D38" i="6"/>
  <c r="H43"/>
  <c r="H34"/>
  <c r="I33"/>
  <c r="I173" s="1"/>
  <c r="D173" l="1"/>
  <c r="I170"/>
  <c r="H177"/>
  <c r="G163" i="12"/>
  <c r="H151" i="6"/>
  <c r="H45" s="1"/>
  <c r="G160" i="12"/>
  <c r="G153"/>
  <c r="I33"/>
  <c r="I173" s="1"/>
  <c r="H155" i="6"/>
  <c r="H157" s="1"/>
  <c r="D33"/>
  <c r="I42"/>
  <c r="I30"/>
  <c r="I44" s="1"/>
  <c r="D43"/>
  <c r="H39"/>
  <c r="D34"/>
  <c r="H152" l="1"/>
  <c r="I169"/>
  <c r="D170"/>
  <c r="H178"/>
  <c r="D173" i="12"/>
  <c r="I170"/>
  <c r="H177"/>
  <c r="I151" i="6"/>
  <c r="I45" s="1"/>
  <c r="H153"/>
  <c r="H38" i="12"/>
  <c r="I30"/>
  <c r="I44" s="1"/>
  <c r="H158" i="6"/>
  <c r="H159" s="1"/>
  <c r="D33" i="12"/>
  <c r="I42"/>
  <c r="D30" i="6"/>
  <c r="I39"/>
  <c r="D39" s="1"/>
  <c r="D42"/>
  <c r="I177" l="1"/>
  <c r="D177" s="1"/>
  <c r="D178" s="1"/>
  <c r="H178" i="12"/>
  <c r="I169"/>
  <c r="D170"/>
  <c r="I152" i="6"/>
  <c r="H34" i="12"/>
  <c r="D38"/>
  <c r="H43"/>
  <c r="I155" i="6"/>
  <c r="D151"/>
  <c r="I39" i="12"/>
  <c r="D42"/>
  <c r="H161" i="6"/>
  <c r="H163" s="1"/>
  <c r="H158" i="12"/>
  <c r="H159" s="1"/>
  <c r="D30"/>
  <c r="I178" i="6" l="1"/>
  <c r="I177" i="12"/>
  <c r="D177" s="1"/>
  <c r="D178" s="1"/>
  <c r="I178"/>
  <c r="H162" i="6"/>
  <c r="I153"/>
  <c r="D152"/>
  <c r="D153"/>
  <c r="H39" i="12"/>
  <c r="D39" s="1"/>
  <c r="D43"/>
  <c r="H151"/>
  <c r="H45" s="1"/>
  <c r="D34"/>
  <c r="I158" i="6"/>
  <c r="I159" s="1"/>
  <c r="I157"/>
  <c r="D157" s="1"/>
  <c r="D155"/>
  <c r="I151" i="12"/>
  <c r="I45" s="1"/>
  <c r="I153" l="1"/>
  <c r="H152"/>
  <c r="I152"/>
  <c r="H161"/>
  <c r="H162" s="1"/>
  <c r="I158"/>
  <c r="I159" s="1"/>
  <c r="H155"/>
  <c r="H157" s="1"/>
  <c r="I161" i="6"/>
  <c r="I163" s="1"/>
  <c r="D158"/>
  <c r="D156"/>
  <c r="I155" i="12"/>
  <c r="D151"/>
  <c r="H163" l="1"/>
  <c r="I162" i="6"/>
  <c r="D159"/>
  <c r="D160"/>
  <c r="I160" i="12"/>
  <c r="D152"/>
  <c r="D153"/>
  <c r="H160"/>
  <c r="H153"/>
  <c r="D158"/>
  <c r="I161"/>
  <c r="I163" s="1"/>
  <c r="D161" i="6"/>
  <c r="D163" s="1"/>
  <c r="D161" i="12"/>
  <c r="D163" s="1"/>
  <c r="I157"/>
  <c r="D157" s="1"/>
  <c r="D155"/>
  <c r="D162" l="1"/>
  <c r="D162" i="6"/>
  <c r="D159" i="12"/>
  <c r="D160"/>
  <c r="I162"/>
  <c r="D156"/>
  <c r="J59" i="4" l="1"/>
  <c r="K151"/>
  <c r="K59" i="1"/>
  <c r="K46" s="1"/>
  <c r="J46" s="1"/>
  <c r="K45" i="4" l="1"/>
  <c r="K163" s="1"/>
  <c r="J151"/>
  <c r="K161"/>
  <c r="K155"/>
  <c r="K151" i="1"/>
  <c r="K45" s="1"/>
  <c r="K59" i="11"/>
  <c r="K46" s="1"/>
  <c r="K59" i="27"/>
  <c r="K46" s="1"/>
  <c r="K59" i="20"/>
  <c r="K46" s="1"/>
  <c r="J59" i="1"/>
  <c r="K160" i="4" l="1"/>
  <c r="K153"/>
  <c r="K163" i="1"/>
  <c r="J152" i="4"/>
  <c r="J153"/>
  <c r="K59" i="32"/>
  <c r="K46" s="1"/>
  <c r="J59" i="27"/>
  <c r="K59" i="28"/>
  <c r="K46" s="1"/>
  <c r="K155" i="1"/>
  <c r="K161"/>
  <c r="J59" i="20"/>
  <c r="K59" i="29"/>
  <c r="K46" s="1"/>
  <c r="J59" i="11"/>
  <c r="K157" i="4"/>
  <c r="J157" s="1"/>
  <c r="J155"/>
  <c r="J161"/>
  <c r="J163" s="1"/>
  <c r="K153" i="1" l="1"/>
  <c r="J59" i="32"/>
  <c r="J162" i="4"/>
  <c r="K160" i="1"/>
  <c r="K151" i="32"/>
  <c r="J156" i="4"/>
  <c r="K151" i="11"/>
  <c r="K45" s="1"/>
  <c r="K157" i="1"/>
  <c r="J59" i="28"/>
  <c r="J59" i="29"/>
  <c r="K59" i="30"/>
  <c r="K151" i="20"/>
  <c r="K151" i="27"/>
  <c r="K45" s="1"/>
  <c r="K45" i="32" l="1"/>
  <c r="K152"/>
  <c r="K45" i="20"/>
  <c r="K163" s="1"/>
  <c r="K152"/>
  <c r="K163" i="11"/>
  <c r="K163" i="27"/>
  <c r="K160" i="32"/>
  <c r="K161" i="27"/>
  <c r="K160" i="11"/>
  <c r="K161" i="32"/>
  <c r="K162" s="1"/>
  <c r="K155"/>
  <c r="K151" i="29"/>
  <c r="K151" i="28"/>
  <c r="K45" s="1"/>
  <c r="K155" i="27"/>
  <c r="K161" i="20"/>
  <c r="K162" s="1"/>
  <c r="K155"/>
  <c r="J59" i="30"/>
  <c r="K161" i="11"/>
  <c r="K155"/>
  <c r="K163" i="32" l="1"/>
  <c r="K153" i="20"/>
  <c r="K160"/>
  <c r="K153" i="11"/>
  <c r="K153" i="32"/>
  <c r="K163" i="29"/>
  <c r="K163" i="28"/>
  <c r="K153" i="29"/>
  <c r="K47" i="30" s="1"/>
  <c r="K153" i="27"/>
  <c r="K160"/>
  <c r="K153" i="28"/>
  <c r="K157" i="32"/>
  <c r="K157" i="11"/>
  <c r="K157" i="20"/>
  <c r="K157" i="27"/>
  <c r="K161" i="28"/>
  <c r="K155"/>
  <c r="K161" i="29"/>
  <c r="K155"/>
  <c r="K46" i="30" l="1"/>
  <c r="K151" s="1"/>
  <c r="K160" i="28"/>
  <c r="K160" i="29"/>
  <c r="K157" i="28"/>
  <c r="K157" i="29"/>
  <c r="K45" i="30" l="1"/>
  <c r="K161"/>
  <c r="K155"/>
  <c r="K153"/>
  <c r="K157"/>
  <c r="K163" l="1"/>
  <c r="K160"/>
  <c r="D36" i="3"/>
  <c r="F41"/>
  <c r="F42"/>
  <c r="F37" i="26"/>
  <c r="H31" i="3"/>
  <c r="H171" s="1"/>
  <c r="F34"/>
  <c r="G31"/>
  <c r="G171" s="1"/>
  <c r="D171" l="1"/>
  <c r="G170"/>
  <c r="F177"/>
  <c r="F151"/>
  <c r="F45" s="1"/>
  <c r="G30"/>
  <c r="G44" s="1"/>
  <c r="H40"/>
  <c r="D31"/>
  <c r="G40"/>
  <c r="F42" i="26"/>
  <c r="H31"/>
  <c r="H171" s="1"/>
  <c r="F39" i="3"/>
  <c r="G169" l="1"/>
  <c r="F178"/>
  <c r="F152"/>
  <c r="F153"/>
  <c r="G42"/>
  <c r="G39" s="1"/>
  <c r="D37"/>
  <c r="H32"/>
  <c r="H172" s="1"/>
  <c r="G34"/>
  <c r="D40"/>
  <c r="H40" i="26"/>
  <c r="F155" i="3"/>
  <c r="D172" l="1"/>
  <c r="H170"/>
  <c r="G177"/>
  <c r="G151"/>
  <c r="G45" s="1"/>
  <c r="F158"/>
  <c r="F159" s="1"/>
  <c r="H30"/>
  <c r="H44" s="1"/>
  <c r="H41"/>
  <c r="D32"/>
  <c r="F157"/>
  <c r="H169" l="1"/>
  <c r="G178"/>
  <c r="G155"/>
  <c r="G157" s="1"/>
  <c r="G153"/>
  <c r="G152"/>
  <c r="F161"/>
  <c r="G158"/>
  <c r="G159" s="1"/>
  <c r="D41"/>
  <c r="F162" l="1"/>
  <c r="G161"/>
  <c r="G162" l="1"/>
  <c r="H34"/>
  <c r="D38"/>
  <c r="H43"/>
  <c r="I33"/>
  <c r="I173" s="1"/>
  <c r="D173" l="1"/>
  <c r="I170"/>
  <c r="H177"/>
  <c r="H151"/>
  <c r="H45" s="1"/>
  <c r="D43"/>
  <c r="H39"/>
  <c r="I30"/>
  <c r="I44" s="1"/>
  <c r="I42"/>
  <c r="D33"/>
  <c r="D34"/>
  <c r="I169" l="1"/>
  <c r="I177" s="1"/>
  <c r="I178" s="1"/>
  <c r="D170"/>
  <c r="H178"/>
  <c r="D177"/>
  <c r="D178" s="1"/>
  <c r="H155"/>
  <c r="I151"/>
  <c r="I45" s="1"/>
  <c r="H152"/>
  <c r="H153"/>
  <c r="H157"/>
  <c r="D30"/>
  <c r="H158"/>
  <c r="H159" s="1"/>
  <c r="I39"/>
  <c r="D39" s="1"/>
  <c r="D42"/>
  <c r="H161" l="1"/>
  <c r="D151" l="1"/>
  <c r="D153" s="1"/>
  <c r="I152"/>
  <c r="I153"/>
  <c r="H162"/>
  <c r="I155"/>
  <c r="D155" s="1"/>
  <c r="I158"/>
  <c r="I159" s="1"/>
  <c r="I157"/>
  <c r="D157" s="1"/>
  <c r="D152" l="1"/>
  <c r="D156"/>
  <c r="I161"/>
  <c r="D158"/>
  <c r="D159" l="1"/>
  <c r="D160"/>
  <c r="I162"/>
  <c r="D161"/>
  <c r="D162" l="1"/>
  <c r="F34" i="13"/>
  <c r="F151" l="1"/>
  <c r="F45" s="1"/>
  <c r="D36"/>
  <c r="F41"/>
  <c r="H31"/>
  <c r="H171" s="1"/>
  <c r="G31"/>
  <c r="G171" s="1"/>
  <c r="F42"/>
  <c r="D171" l="1"/>
  <c r="G170"/>
  <c r="F177"/>
  <c r="F155"/>
  <c r="F157" s="1"/>
  <c r="F152"/>
  <c r="F153"/>
  <c r="F158"/>
  <c r="F159" s="1"/>
  <c r="H40"/>
  <c r="H31" i="19"/>
  <c r="H171" s="1"/>
  <c r="G40" i="13"/>
  <c r="D31"/>
  <c r="G30"/>
  <c r="G44" s="1"/>
  <c r="G31" i="19"/>
  <c r="G171" s="1"/>
  <c r="F39" i="13"/>
  <c r="G169" l="1"/>
  <c r="F178"/>
  <c r="G170" i="19"/>
  <c r="D171"/>
  <c r="F177"/>
  <c r="F37"/>
  <c r="H40"/>
  <c r="H31" i="31"/>
  <c r="H171" s="1"/>
  <c r="G30" i="19"/>
  <c r="G44" s="1"/>
  <c r="G31" i="31"/>
  <c r="G171" s="1"/>
  <c r="D31" i="19"/>
  <c r="G40"/>
  <c r="F36"/>
  <c r="D40" i="13"/>
  <c r="F161"/>
  <c r="F163" s="1"/>
  <c r="F158" i="19"/>
  <c r="F159" s="1"/>
  <c r="F178" l="1"/>
  <c r="G169"/>
  <c r="G170" i="31"/>
  <c r="D171"/>
  <c r="F177"/>
  <c r="F162" i="13"/>
  <c r="F158" i="31"/>
  <c r="F159" s="1"/>
  <c r="F34" i="19"/>
  <c r="D36"/>
  <c r="F41"/>
  <c r="D40"/>
  <c r="D31" i="31"/>
  <c r="G40"/>
  <c r="G30"/>
  <c r="G44" s="1"/>
  <c r="F36"/>
  <c r="F37"/>
  <c r="H40"/>
  <c r="F42" i="19"/>
  <c r="F178" i="31" l="1"/>
  <c r="G169"/>
  <c r="F42"/>
  <c r="D40"/>
  <c r="F39" i="19"/>
  <c r="F151"/>
  <c r="G42" i="13"/>
  <c r="G34"/>
  <c r="H32"/>
  <c r="H172" s="1"/>
  <c r="D37"/>
  <c r="F41" i="31"/>
  <c r="F34"/>
  <c r="D36"/>
  <c r="D172" i="13" l="1"/>
  <c r="H170"/>
  <c r="G177"/>
  <c r="F45" i="19"/>
  <c r="F155"/>
  <c r="G151" i="13"/>
  <c r="G45" s="1"/>
  <c r="F152" i="19"/>
  <c r="G152" i="13"/>
  <c r="F39" i="31"/>
  <c r="D32" i="13"/>
  <c r="H41"/>
  <c r="H32" i="19"/>
  <c r="H172" s="1"/>
  <c r="H30" i="13"/>
  <c r="H44" s="1"/>
  <c r="F161" i="19"/>
  <c r="F162" s="1"/>
  <c r="F151" i="31"/>
  <c r="F45" s="1"/>
  <c r="G39" i="13"/>
  <c r="H169" l="1"/>
  <c r="G178"/>
  <c r="D172" i="19"/>
  <c r="H170"/>
  <c r="G177"/>
  <c r="G155" i="13"/>
  <c r="F163" i="19"/>
  <c r="G153" i="13"/>
  <c r="F152" i="31"/>
  <c r="F153" i="19"/>
  <c r="F160"/>
  <c r="G157" i="13"/>
  <c r="F161" i="31"/>
  <c r="F162" s="1"/>
  <c r="F155"/>
  <c r="F157" i="19"/>
  <c r="G158" i="13"/>
  <c r="G159" s="1"/>
  <c r="H41" i="19"/>
  <c r="D32"/>
  <c r="G37"/>
  <c r="H32" i="31"/>
  <c r="H172" s="1"/>
  <c r="H30" i="19"/>
  <c r="H44" s="1"/>
  <c r="D41" i="13"/>
  <c r="G178" i="19" l="1"/>
  <c r="D172" i="31"/>
  <c r="H170"/>
  <c r="G177"/>
  <c r="H169" i="19"/>
  <c r="F163" i="31"/>
  <c r="F153"/>
  <c r="F160"/>
  <c r="G42" i="19"/>
  <c r="G34"/>
  <c r="D37"/>
  <c r="G161" i="13"/>
  <c r="G163" s="1"/>
  <c r="G158" i="19"/>
  <c r="G159" s="1"/>
  <c r="F157" i="31"/>
  <c r="H41"/>
  <c r="G37"/>
  <c r="D32"/>
  <c r="H30"/>
  <c r="H44" s="1"/>
  <c r="D41" i="19"/>
  <c r="G178" i="31" l="1"/>
  <c r="H169"/>
  <c r="G162" i="13"/>
  <c r="H34"/>
  <c r="D38"/>
  <c r="H43"/>
  <c r="I33"/>
  <c r="I173" s="1"/>
  <c r="D41" i="31"/>
  <c r="G158"/>
  <c r="G159" s="1"/>
  <c r="G39" i="19"/>
  <c r="G42" i="31"/>
  <c r="G34"/>
  <c r="D37"/>
  <c r="G151" i="19"/>
  <c r="D173" i="13" l="1"/>
  <c r="I170"/>
  <c r="H177"/>
  <c r="G45" i="19"/>
  <c r="G155"/>
  <c r="H151" i="13"/>
  <c r="H45" s="1"/>
  <c r="G152" i="19"/>
  <c r="H152" i="13"/>
  <c r="G39" i="31"/>
  <c r="D43" i="13"/>
  <c r="H39"/>
  <c r="D34"/>
  <c r="G161" i="19"/>
  <c r="G162" s="1"/>
  <c r="G151" i="31"/>
  <c r="G45" s="1"/>
  <c r="D33" i="13"/>
  <c r="I42"/>
  <c r="I33" i="19"/>
  <c r="I173" s="1"/>
  <c r="I30" i="13"/>
  <c r="I151" l="1"/>
  <c r="I45" s="1"/>
  <c r="I44"/>
  <c r="I169"/>
  <c r="I177" s="1"/>
  <c r="I178" s="1"/>
  <c r="D170"/>
  <c r="H178"/>
  <c r="D173" i="19"/>
  <c r="I170"/>
  <c r="H177"/>
  <c r="H155" i="13"/>
  <c r="G163" i="19"/>
  <c r="G152" i="31"/>
  <c r="H153" i="13"/>
  <c r="G160" i="19"/>
  <c r="G153"/>
  <c r="H157" i="13"/>
  <c r="D30"/>
  <c r="G161" i="31"/>
  <c r="G162" s="1"/>
  <c r="G155"/>
  <c r="H158" i="13"/>
  <c r="H159" s="1"/>
  <c r="D33" i="19"/>
  <c r="I33" i="31"/>
  <c r="I173" s="1"/>
  <c r="I30" i="19"/>
  <c r="I44" s="1"/>
  <c r="I42"/>
  <c r="H38"/>
  <c r="I39" i="13"/>
  <c r="D39" s="1"/>
  <c r="D42"/>
  <c r="G157" i="19"/>
  <c r="D177" i="13" l="1"/>
  <c r="D178" s="1"/>
  <c r="H178" i="19"/>
  <c r="D173" i="31"/>
  <c r="I170"/>
  <c r="H177"/>
  <c r="I169" i="19"/>
  <c r="I177" s="1"/>
  <c r="I178" s="1"/>
  <c r="D170"/>
  <c r="G163" i="31"/>
  <c r="G160"/>
  <c r="G153"/>
  <c r="I152" i="13"/>
  <c r="I155"/>
  <c r="D151"/>
  <c r="I39" i="19"/>
  <c r="D42"/>
  <c r="H38" i="31"/>
  <c r="D33"/>
  <c r="I42"/>
  <c r="I30"/>
  <c r="I44" s="1"/>
  <c r="H161" i="13"/>
  <c r="H163" s="1"/>
  <c r="H158" i="19"/>
  <c r="H159" s="1"/>
  <c r="G157" i="31"/>
  <c r="D38" i="19"/>
  <c r="H43"/>
  <c r="H34"/>
  <c r="D30"/>
  <c r="H178" i="31" l="1"/>
  <c r="I169"/>
  <c r="I177" s="1"/>
  <c r="I178" s="1"/>
  <c r="D170"/>
  <c r="D177" i="19"/>
  <c r="D178" s="1"/>
  <c r="D152" i="13"/>
  <c r="D153"/>
  <c r="H162"/>
  <c r="I153"/>
  <c r="I158"/>
  <c r="I157"/>
  <c r="D157" s="1"/>
  <c r="D155"/>
  <c r="I151" i="19"/>
  <c r="D43"/>
  <c r="H39"/>
  <c r="D39" s="1"/>
  <c r="H158" i="31"/>
  <c r="H159" s="1"/>
  <c r="D30"/>
  <c r="I39"/>
  <c r="D42"/>
  <c r="D38"/>
  <c r="H34"/>
  <c r="H43"/>
  <c r="H151" i="19"/>
  <c r="D34"/>
  <c r="H45" l="1"/>
  <c r="H155"/>
  <c r="I45"/>
  <c r="I153" s="1"/>
  <c r="I155"/>
  <c r="D177" i="31"/>
  <c r="D178" s="1"/>
  <c r="H152" i="19"/>
  <c r="I161" i="13"/>
  <c r="I163" s="1"/>
  <c r="I159"/>
  <c r="I152" i="19"/>
  <c r="I158"/>
  <c r="I159" s="1"/>
  <c r="D158" i="13"/>
  <c r="D156"/>
  <c r="H161" i="19"/>
  <c r="H162" s="1"/>
  <c r="D151"/>
  <c r="D34" i="31"/>
  <c r="H151"/>
  <c r="H45" s="1"/>
  <c r="I157" i="19"/>
  <c r="D43" i="31"/>
  <c r="H39"/>
  <c r="D39" s="1"/>
  <c r="I151"/>
  <c r="I45" s="1"/>
  <c r="H163" i="19" l="1"/>
  <c r="I153" i="31"/>
  <c r="H152"/>
  <c r="I152"/>
  <c r="I160" i="19"/>
  <c r="D152"/>
  <c r="D153"/>
  <c r="D159" i="13"/>
  <c r="D160"/>
  <c r="D161"/>
  <c r="D163" s="1"/>
  <c r="I162"/>
  <c r="H153" i="19"/>
  <c r="H160"/>
  <c r="I158" i="31"/>
  <c r="I159" s="1"/>
  <c r="I161" i="19"/>
  <c r="I163" s="1"/>
  <c r="D158"/>
  <c r="I155" i="31"/>
  <c r="I157" s="1"/>
  <c r="H157" i="19"/>
  <c r="D157" s="1"/>
  <c r="D155"/>
  <c r="H155" i="31"/>
  <c r="H161"/>
  <c r="H162" s="1"/>
  <c r="D151"/>
  <c r="D161" i="19"/>
  <c r="D163" s="1"/>
  <c r="H163" i="31" l="1"/>
  <c r="D162" i="19"/>
  <c r="I162"/>
  <c r="I160" i="31"/>
  <c r="D152"/>
  <c r="D153"/>
  <c r="D159" i="19"/>
  <c r="D160"/>
  <c r="D162" i="13"/>
  <c r="H153" i="31"/>
  <c r="H160"/>
  <c r="I161"/>
  <c r="I163" s="1"/>
  <c r="D158"/>
  <c r="H157"/>
  <c r="D157" s="1"/>
  <c r="D155"/>
  <c r="D156" i="19"/>
  <c r="I162" i="31" l="1"/>
  <c r="D159"/>
  <c r="D160"/>
  <c r="D161"/>
  <c r="D163" s="1"/>
  <c r="D156"/>
  <c r="D162" l="1"/>
  <c r="K150" i="2"/>
  <c r="K150" i="1" l="1"/>
  <c r="K150" i="20" s="1"/>
  <c r="K150" i="26"/>
  <c r="J147" i="2"/>
  <c r="L147" i="26"/>
  <c r="J147" s="1"/>
  <c r="L147" i="1"/>
  <c r="J147" s="1"/>
  <c r="L146" i="26"/>
  <c r="K150" i="32" l="1"/>
  <c r="K150" i="33" s="1"/>
  <c r="K150" i="27"/>
  <c r="K150" i="28" s="1"/>
  <c r="K150" i="11"/>
  <c r="K150" i="29" s="1"/>
  <c r="K150" i="30" s="1"/>
  <c r="J146" i="26"/>
  <c r="L143"/>
  <c r="L45" s="1"/>
  <c r="L146" i="1"/>
  <c r="L147" i="20"/>
  <c r="L147" i="27"/>
  <c r="J146" i="2"/>
  <c r="L143"/>
  <c r="L147" i="11"/>
  <c r="L180" i="2" l="1"/>
  <c r="L45"/>
  <c r="L163" s="1"/>
  <c r="L180" i="26"/>
  <c r="L163"/>
  <c r="L150" i="2"/>
  <c r="J147" i="11"/>
  <c r="L147" i="29"/>
  <c r="J143" i="2"/>
  <c r="J147" i="27"/>
  <c r="L147" i="28"/>
  <c r="J147" s="1"/>
  <c r="L146" i="20"/>
  <c r="L146" i="11"/>
  <c r="J146" i="1"/>
  <c r="L143"/>
  <c r="L45" s="1"/>
  <c r="L146" i="27"/>
  <c r="J147" i="20"/>
  <c r="L147" i="32"/>
  <c r="J143" i="26"/>
  <c r="J147" i="32" l="1"/>
  <c r="L147" i="33"/>
  <c r="J147" s="1"/>
  <c r="L153" i="2"/>
  <c r="J180"/>
  <c r="L177"/>
  <c r="L147" i="30"/>
  <c r="J180" i="26"/>
  <c r="L177"/>
  <c r="L180" i="1"/>
  <c r="L160" i="26"/>
  <c r="L153"/>
  <c r="J150" i="2"/>
  <c r="L150" i="26"/>
  <c r="J150" s="1"/>
  <c r="J148" s="1"/>
  <c r="L150" i="1"/>
  <c r="L160" i="2"/>
  <c r="J146" i="11"/>
  <c r="L143"/>
  <c r="L45" s="1"/>
  <c r="L146" i="29"/>
  <c r="L143" s="1"/>
  <c r="L143" i="27"/>
  <c r="L45" s="1"/>
  <c r="J146"/>
  <c r="L146" i="28"/>
  <c r="J146" i="20"/>
  <c r="L146" i="32"/>
  <c r="L146" i="33" s="1"/>
  <c r="L143" i="20"/>
  <c r="L45" s="1"/>
  <c r="J143" i="1"/>
  <c r="J147" i="29"/>
  <c r="J147" i="30"/>
  <c r="J143" i="29" l="1"/>
  <c r="L180"/>
  <c r="L150" i="27"/>
  <c r="L150" i="20"/>
  <c r="L143" i="33"/>
  <c r="J146"/>
  <c r="J177" i="2"/>
  <c r="J178" s="1"/>
  <c r="L178"/>
  <c r="J180" i="1"/>
  <c r="L177"/>
  <c r="L178" i="26"/>
  <c r="L180" i="20"/>
  <c r="L180" i="27"/>
  <c r="L163"/>
  <c r="L180" i="11"/>
  <c r="L153" i="1"/>
  <c r="L163"/>
  <c r="L160"/>
  <c r="J150"/>
  <c r="J148" s="1"/>
  <c r="L150" i="11"/>
  <c r="L150" i="29" s="1"/>
  <c r="L150" i="30" s="1"/>
  <c r="J148" i="2"/>
  <c r="J143" i="20"/>
  <c r="J146" i="29"/>
  <c r="L146" i="30"/>
  <c r="J146" i="32"/>
  <c r="L143"/>
  <c r="L45" s="1"/>
  <c r="L143" i="28"/>
  <c r="L45" s="1"/>
  <c r="J146"/>
  <c r="J143" i="27"/>
  <c r="J143" i="11"/>
  <c r="J180" i="29" l="1"/>
  <c r="L177"/>
  <c r="L180" i="33"/>
  <c r="J143"/>
  <c r="L45"/>
  <c r="L180" i="28"/>
  <c r="J177" i="1"/>
  <c r="J178" s="1"/>
  <c r="L178"/>
  <c r="L163" i="28"/>
  <c r="J180" i="11"/>
  <c r="L177"/>
  <c r="L178" s="1"/>
  <c r="J180" i="27"/>
  <c r="L177"/>
  <c r="L178" s="1"/>
  <c r="J180" i="20"/>
  <c r="L177"/>
  <c r="L178" s="1"/>
  <c r="L180" i="32"/>
  <c r="L163"/>
  <c r="L163" i="29"/>
  <c r="L153" i="11"/>
  <c r="L163"/>
  <c r="L160" i="20"/>
  <c r="L163"/>
  <c r="L153"/>
  <c r="L160" i="11"/>
  <c r="J150"/>
  <c r="J148" s="1"/>
  <c r="J150" i="20"/>
  <c r="J148" s="1"/>
  <c r="L150" i="32"/>
  <c r="L150" i="33" s="1"/>
  <c r="J150" s="1"/>
  <c r="J148" s="1"/>
  <c r="L160" i="27"/>
  <c r="L153"/>
  <c r="J150"/>
  <c r="J148" s="1"/>
  <c r="L150" i="28"/>
  <c r="J150" s="1"/>
  <c r="J143"/>
  <c r="J146" i="30"/>
  <c r="L143"/>
  <c r="L180" s="1"/>
  <c r="J143" i="32"/>
  <c r="J150" i="29"/>
  <c r="J148" s="1"/>
  <c r="L178" l="1"/>
  <c r="L163" i="33"/>
  <c r="L160"/>
  <c r="L153"/>
  <c r="J180"/>
  <c r="L177"/>
  <c r="L178" s="1"/>
  <c r="J180" i="28"/>
  <c r="L177"/>
  <c r="J180" i="32"/>
  <c r="L177"/>
  <c r="L178" s="1"/>
  <c r="J180" i="30"/>
  <c r="L177"/>
  <c r="L178" s="1"/>
  <c r="J150" i="32"/>
  <c r="J148" s="1"/>
  <c r="L160" i="28"/>
  <c r="L153"/>
  <c r="L153" i="29"/>
  <c r="L47" i="30" s="1"/>
  <c r="L46" s="1"/>
  <c r="L160" i="29"/>
  <c r="L160" i="32"/>
  <c r="L153"/>
  <c r="J148" i="28"/>
  <c r="J143" i="30"/>
  <c r="J150"/>
  <c r="L178" i="28" l="1"/>
  <c r="J148" i="30"/>
  <c r="L151" l="1"/>
  <c r="L45" s="1"/>
  <c r="D36" i="2"/>
  <c r="F41"/>
  <c r="F39" s="1"/>
  <c r="F36" i="26"/>
  <c r="D36" s="1"/>
  <c r="F34" i="2"/>
  <c r="G31"/>
  <c r="G171" s="1"/>
  <c r="D171" l="1"/>
  <c r="G170"/>
  <c r="F177"/>
  <c r="L152" i="30"/>
  <c r="L161"/>
  <c r="L162" s="1"/>
  <c r="L155"/>
  <c r="L157" s="1"/>
  <c r="F151" i="2"/>
  <c r="F45" s="1"/>
  <c r="D31"/>
  <c r="G30"/>
  <c r="G44" s="1"/>
  <c r="G40"/>
  <c r="F34" i="26"/>
  <c r="G31"/>
  <c r="G171" s="1"/>
  <c r="F41"/>
  <c r="G169" i="2" l="1"/>
  <c r="F178"/>
  <c r="D171" i="26"/>
  <c r="G170"/>
  <c r="F177"/>
  <c r="L163" i="30"/>
  <c r="L160"/>
  <c r="L153"/>
  <c r="F155" i="2"/>
  <c r="F157" s="1"/>
  <c r="F152"/>
  <c r="F153"/>
  <c r="D31" i="26"/>
  <c r="G40"/>
  <c r="G30"/>
  <c r="G44" s="1"/>
  <c r="F39"/>
  <c r="F151"/>
  <c r="F45" s="1"/>
  <c r="D40" i="2"/>
  <c r="F178" i="26" l="1"/>
  <c r="G169"/>
  <c r="F152"/>
  <c r="F155"/>
  <c r="D40"/>
  <c r="F153" l="1"/>
  <c r="F157"/>
  <c r="D36" i="4" l="1"/>
  <c r="F41"/>
  <c r="G31"/>
  <c r="G171" s="1"/>
  <c r="F34"/>
  <c r="H31"/>
  <c r="H171" s="1"/>
  <c r="F42"/>
  <c r="D171" l="1"/>
  <c r="G170"/>
  <c r="F177"/>
  <c r="F151"/>
  <c r="F45" s="1"/>
  <c r="H40"/>
  <c r="H31" i="1"/>
  <c r="H171" s="1"/>
  <c r="D31" i="4"/>
  <c r="G40"/>
  <c r="G30"/>
  <c r="G44" s="1"/>
  <c r="G31" i="1"/>
  <c r="G171" s="1"/>
  <c r="G42" i="4"/>
  <c r="H32"/>
  <c r="H172" s="1"/>
  <c r="D172" s="1"/>
  <c r="G34"/>
  <c r="F39"/>
  <c r="F178" l="1"/>
  <c r="G169"/>
  <c r="G177" s="1"/>
  <c r="G178" s="1"/>
  <c r="H170"/>
  <c r="H169" s="1"/>
  <c r="D171" i="1"/>
  <c r="G170"/>
  <c r="F177"/>
  <c r="F155" i="4"/>
  <c r="F152"/>
  <c r="D37"/>
  <c r="G151"/>
  <c r="G45" s="1"/>
  <c r="F153"/>
  <c r="H30"/>
  <c r="H44" s="1"/>
  <c r="F157"/>
  <c r="D31" i="1"/>
  <c r="G40"/>
  <c r="G30"/>
  <c r="G44" s="1"/>
  <c r="F36"/>
  <c r="G31" i="20"/>
  <c r="G171" s="1"/>
  <c r="F158" i="4"/>
  <c r="F159" s="1"/>
  <c r="D32"/>
  <c r="H41"/>
  <c r="D41" s="1"/>
  <c r="D40"/>
  <c r="G39"/>
  <c r="H40" i="1"/>
  <c r="F37"/>
  <c r="H31" i="20"/>
  <c r="H171" s="1"/>
  <c r="G169" i="1" l="1"/>
  <c r="F178"/>
  <c r="G170" i="20"/>
  <c r="D171"/>
  <c r="F177"/>
  <c r="D38" i="4"/>
  <c r="I33"/>
  <c r="I173" s="1"/>
  <c r="H34"/>
  <c r="H151" s="1"/>
  <c r="H45" s="1"/>
  <c r="H43"/>
  <c r="D43" s="1"/>
  <c r="F37" i="20"/>
  <c r="H31" i="32"/>
  <c r="H171" s="1"/>
  <c r="H40" i="20"/>
  <c r="G40"/>
  <c r="D31"/>
  <c r="G30"/>
  <c r="G44" s="1"/>
  <c r="G31" i="32"/>
  <c r="G171" s="1"/>
  <c r="F36" i="20"/>
  <c r="D40" i="1"/>
  <c r="F42"/>
  <c r="F37" i="27"/>
  <c r="F37" i="11"/>
  <c r="F161" i="4"/>
  <c r="F163" s="1"/>
  <c r="D36" i="1"/>
  <c r="F41"/>
  <c r="F34"/>
  <c r="F36" i="27"/>
  <c r="F36" i="11"/>
  <c r="D173" i="4" l="1"/>
  <c r="I170"/>
  <c r="H177"/>
  <c r="G170" i="32"/>
  <c r="D171"/>
  <c r="F177"/>
  <c r="F178" i="20"/>
  <c r="G169"/>
  <c r="H39" i="4"/>
  <c r="D34"/>
  <c r="G152"/>
  <c r="G153"/>
  <c r="F162"/>
  <c r="I42"/>
  <c r="I30"/>
  <c r="D33"/>
  <c r="G155"/>
  <c r="G158"/>
  <c r="G159" s="1"/>
  <c r="D36" i="11"/>
  <c r="F41"/>
  <c r="G31"/>
  <c r="G171" s="1"/>
  <c r="F36" i="29"/>
  <c r="F34" i="11"/>
  <c r="F151" i="1"/>
  <c r="F45" s="1"/>
  <c r="F42" i="27"/>
  <c r="H31"/>
  <c r="H171" s="1"/>
  <c r="F37" i="28"/>
  <c r="D31" i="32"/>
  <c r="G40"/>
  <c r="G30"/>
  <c r="G44" s="1"/>
  <c r="F36"/>
  <c r="G31" i="33"/>
  <c r="G171" s="1"/>
  <c r="F37" i="32"/>
  <c r="H40"/>
  <c r="H31" i="33"/>
  <c r="H171" s="1"/>
  <c r="F42" i="20"/>
  <c r="D36" i="27"/>
  <c r="F41"/>
  <c r="G31"/>
  <c r="G171" s="1"/>
  <c r="F34"/>
  <c r="F36" i="28"/>
  <c r="F39" i="1"/>
  <c r="H31" i="11"/>
  <c r="H171" s="1"/>
  <c r="F42"/>
  <c r="F37" i="29"/>
  <c r="D36" i="20"/>
  <c r="F41"/>
  <c r="F34"/>
  <c r="D40"/>
  <c r="I44" i="4" l="1"/>
  <c r="I151" s="1"/>
  <c r="I45" s="1"/>
  <c r="I169"/>
  <c r="I177" s="1"/>
  <c r="I178" s="1"/>
  <c r="D170"/>
  <c r="H178"/>
  <c r="D171" i="27"/>
  <c r="G170"/>
  <c r="F177"/>
  <c r="G170" i="11"/>
  <c r="D171"/>
  <c r="F177"/>
  <c r="G170" i="33"/>
  <c r="D171"/>
  <c r="F177"/>
  <c r="F178" i="32"/>
  <c r="G169"/>
  <c r="H152" i="4"/>
  <c r="F152" i="1"/>
  <c r="H155" i="4"/>
  <c r="H157" s="1"/>
  <c r="I39"/>
  <c r="D39" s="1"/>
  <c r="D42"/>
  <c r="D30"/>
  <c r="G157"/>
  <c r="G161"/>
  <c r="G163" s="1"/>
  <c r="F151" i="20"/>
  <c r="F45" s="1"/>
  <c r="D36" i="28"/>
  <c r="F41"/>
  <c r="G31"/>
  <c r="G171" s="1"/>
  <c r="F34"/>
  <c r="D31" i="27"/>
  <c r="G40"/>
  <c r="G30"/>
  <c r="G44" s="1"/>
  <c r="F37" i="33"/>
  <c r="H40"/>
  <c r="F42" i="32"/>
  <c r="D36"/>
  <c r="F41"/>
  <c r="F34"/>
  <c r="D40"/>
  <c r="F42" i="28"/>
  <c r="H31"/>
  <c r="H171" s="1"/>
  <c r="F155" i="1"/>
  <c r="F151" i="11"/>
  <c r="F45" s="1"/>
  <c r="D31"/>
  <c r="G40"/>
  <c r="G30"/>
  <c r="G44" s="1"/>
  <c r="F39" i="20"/>
  <c r="F42" i="29"/>
  <c r="H31"/>
  <c r="H171" s="1"/>
  <c r="F37" i="30"/>
  <c r="H40" i="11"/>
  <c r="F151" i="27"/>
  <c r="F45" s="1"/>
  <c r="F39"/>
  <c r="G40" i="33"/>
  <c r="D31"/>
  <c r="F36"/>
  <c r="G30"/>
  <c r="G44" s="1"/>
  <c r="H40" i="27"/>
  <c r="D36" i="29"/>
  <c r="F41"/>
  <c r="F34"/>
  <c r="F36" i="30"/>
  <c r="G31" i="29"/>
  <c r="G171" s="1"/>
  <c r="F39" i="11"/>
  <c r="D177" i="4" l="1"/>
  <c r="D178" s="1"/>
  <c r="G169" i="27"/>
  <c r="G170" i="28"/>
  <c r="D171"/>
  <c r="F177"/>
  <c r="F178" i="27"/>
  <c r="D171" i="29"/>
  <c r="G170"/>
  <c r="F177"/>
  <c r="F178" i="11"/>
  <c r="G169"/>
  <c r="F178" i="33"/>
  <c r="G169"/>
  <c r="I158" i="4"/>
  <c r="I161" s="1"/>
  <c r="H153"/>
  <c r="G162"/>
  <c r="F152" i="27"/>
  <c r="F152" i="20"/>
  <c r="F152" i="11"/>
  <c r="F153" i="1"/>
  <c r="I155" i="4"/>
  <c r="D151"/>
  <c r="H158"/>
  <c r="H159" s="1"/>
  <c r="D36" i="30"/>
  <c r="G31"/>
  <c r="G171" s="1"/>
  <c r="F34"/>
  <c r="F41"/>
  <c r="F39" i="29"/>
  <c r="F42" i="30"/>
  <c r="H31"/>
  <c r="H171" s="1"/>
  <c r="H40" i="29"/>
  <c r="D40" i="11"/>
  <c r="F155"/>
  <c r="F39" i="32"/>
  <c r="G40" i="28"/>
  <c r="D31"/>
  <c r="G30"/>
  <c r="G44" s="1"/>
  <c r="F155" i="20"/>
  <c r="D31" i="29"/>
  <c r="G40"/>
  <c r="G30"/>
  <c r="G44" s="1"/>
  <c r="F151"/>
  <c r="D36" i="33"/>
  <c r="F41"/>
  <c r="F34"/>
  <c r="D40"/>
  <c r="F155" i="27"/>
  <c r="F157" i="1"/>
  <c r="H40" i="28"/>
  <c r="F151" i="32"/>
  <c r="F45" s="1"/>
  <c r="F42" i="33"/>
  <c r="D40" i="27"/>
  <c r="F151" i="28"/>
  <c r="F45" s="1"/>
  <c r="F39"/>
  <c r="F178" l="1"/>
  <c r="G169"/>
  <c r="F178" i="29"/>
  <c r="D171" i="30"/>
  <c r="G170"/>
  <c r="F177"/>
  <c r="G169" i="29"/>
  <c r="I162" i="4"/>
  <c r="I163"/>
  <c r="I152"/>
  <c r="D152"/>
  <c r="D153"/>
  <c r="I153"/>
  <c r="I159"/>
  <c r="F152" i="28"/>
  <c r="F152" i="32"/>
  <c r="F153" i="11"/>
  <c r="F152" i="29"/>
  <c r="F45" s="1"/>
  <c r="F153" i="20"/>
  <c r="F153" i="27"/>
  <c r="H161" i="4"/>
  <c r="H163" s="1"/>
  <c r="D158"/>
  <c r="I157"/>
  <c r="D157" s="1"/>
  <c r="D155"/>
  <c r="F155" i="28"/>
  <c r="F155" i="32"/>
  <c r="F151" i="33"/>
  <c r="F45" s="1"/>
  <c r="F157" i="20"/>
  <c r="H40" i="30"/>
  <c r="F157" i="27"/>
  <c r="F39" i="33"/>
  <c r="F155" i="29"/>
  <c r="D40"/>
  <c r="D40" i="28"/>
  <c r="F157" i="11"/>
  <c r="F39" i="30"/>
  <c r="D31"/>
  <c r="G40"/>
  <c r="G30"/>
  <c r="G44" s="1"/>
  <c r="G169" l="1"/>
  <c r="F178"/>
  <c r="D159" i="4"/>
  <c r="D160"/>
  <c r="H162"/>
  <c r="F152" i="33"/>
  <c r="F153" i="32"/>
  <c r="F153" i="29"/>
  <c r="F47" i="30" s="1"/>
  <c r="F46" s="1"/>
  <c r="F153" i="28"/>
  <c r="D156" i="4"/>
  <c r="D161"/>
  <c r="D163" s="1"/>
  <c r="D40" i="30"/>
  <c r="F155" i="33"/>
  <c r="F157" i="32"/>
  <c r="F157" i="28"/>
  <c r="F157" i="29"/>
  <c r="D162" i="4" l="1"/>
  <c r="F153" i="33"/>
  <c r="F157"/>
  <c r="F151" i="30" l="1"/>
  <c r="F45" s="1"/>
  <c r="D37" i="2"/>
  <c r="G37" i="26"/>
  <c r="G42" i="2"/>
  <c r="G39" s="1"/>
  <c r="H32"/>
  <c r="H172" s="1"/>
  <c r="G34"/>
  <c r="D172" l="1"/>
  <c r="H170"/>
  <c r="G177"/>
  <c r="F153" i="30"/>
  <c r="F152"/>
  <c r="F155"/>
  <c r="F157" s="1"/>
  <c r="G151" i="2"/>
  <c r="G45" s="1"/>
  <c r="H41"/>
  <c r="D32"/>
  <c r="H30"/>
  <c r="H44" s="1"/>
  <c r="H32" i="1"/>
  <c r="H172" s="1"/>
  <c r="H43" i="2"/>
  <c r="D43" s="1"/>
  <c r="D38"/>
  <c r="H38" i="26"/>
  <c r="H34" i="2"/>
  <c r="I33"/>
  <c r="I173" s="1"/>
  <c r="G42" i="26"/>
  <c r="D37"/>
  <c r="G34"/>
  <c r="H32"/>
  <c r="H172" s="1"/>
  <c r="D173" i="2" l="1"/>
  <c r="I170"/>
  <c r="I169" s="1"/>
  <c r="I177" s="1"/>
  <c r="I178" s="1"/>
  <c r="H169"/>
  <c r="H177" s="1"/>
  <c r="H178" s="1"/>
  <c r="D170"/>
  <c r="G178"/>
  <c r="D177"/>
  <c r="D178" s="1"/>
  <c r="D172" i="26"/>
  <c r="H170"/>
  <c r="G177"/>
  <c r="D172" i="1"/>
  <c r="H170"/>
  <c r="G177"/>
  <c r="G155" i="2"/>
  <c r="G157" s="1"/>
  <c r="G152"/>
  <c r="H151"/>
  <c r="H45" s="1"/>
  <c r="H39"/>
  <c r="G153"/>
  <c r="G151" i="26"/>
  <c r="G45" s="1"/>
  <c r="D32" i="1"/>
  <c r="H30"/>
  <c r="H44" s="1"/>
  <c r="H41"/>
  <c r="G37"/>
  <c r="H32" i="20"/>
  <c r="H172" s="1"/>
  <c r="D41" i="2"/>
  <c r="G39" i="26"/>
  <c r="H41"/>
  <c r="D32"/>
  <c r="H30"/>
  <c r="H44" s="1"/>
  <c r="D33" i="2"/>
  <c r="I42"/>
  <c r="I30"/>
  <c r="I33" i="1"/>
  <c r="I173" s="1"/>
  <c r="H34" i="26"/>
  <c r="D34" s="1"/>
  <c r="H43"/>
  <c r="D43" s="1"/>
  <c r="D38"/>
  <c r="I33"/>
  <c r="I173" s="1"/>
  <c r="D34" i="2"/>
  <c r="I44" l="1"/>
  <c r="I151" s="1"/>
  <c r="D173" i="26"/>
  <c r="I170"/>
  <c r="I169" s="1"/>
  <c r="I177" s="1"/>
  <c r="I178" s="1"/>
  <c r="H169" i="1"/>
  <c r="H177" s="1"/>
  <c r="H178" s="1"/>
  <c r="G178" i="26"/>
  <c r="D173" i="1"/>
  <c r="I170"/>
  <c r="I169" s="1"/>
  <c r="I177" s="1"/>
  <c r="I178" s="1"/>
  <c r="G178"/>
  <c r="D177"/>
  <c r="D178" s="1"/>
  <c r="H169" i="26"/>
  <c r="H177" s="1"/>
  <c r="H178" s="1"/>
  <c r="D170"/>
  <c r="D172" i="20"/>
  <c r="H170"/>
  <c r="G177"/>
  <c r="H152" i="2"/>
  <c r="G152" i="26"/>
  <c r="H155" i="2"/>
  <c r="H157" s="1"/>
  <c r="I42" i="1"/>
  <c r="I39" s="1"/>
  <c r="D33"/>
  <c r="I30"/>
  <c r="I44" s="1"/>
  <c r="I33" i="20"/>
  <c r="I173" s="1"/>
  <c r="H38" i="1"/>
  <c r="D37"/>
  <c r="G42"/>
  <c r="G34"/>
  <c r="G37" i="11"/>
  <c r="G37" i="27"/>
  <c r="D41" i="1"/>
  <c r="G155" i="26"/>
  <c r="D30" i="2"/>
  <c r="I42" i="26"/>
  <c r="D33"/>
  <c r="I30"/>
  <c r="I44" s="1"/>
  <c r="I39" i="2"/>
  <c r="D39" s="1"/>
  <c r="D42"/>
  <c r="D41" i="26"/>
  <c r="H39"/>
  <c r="D32" i="20"/>
  <c r="H41"/>
  <c r="H30"/>
  <c r="H44" s="1"/>
  <c r="H32" i="32"/>
  <c r="H172" s="1"/>
  <c r="G37" i="20"/>
  <c r="I45" i="2" l="1"/>
  <c r="I152"/>
  <c r="D151"/>
  <c r="I155"/>
  <c r="I157" s="1"/>
  <c r="D177" i="26"/>
  <c r="D178" s="1"/>
  <c r="D170" i="1"/>
  <c r="D173" i="20"/>
  <c r="I170"/>
  <c r="I169" s="1"/>
  <c r="I177" s="1"/>
  <c r="I178" s="1"/>
  <c r="G178"/>
  <c r="D172" i="32"/>
  <c r="H170"/>
  <c r="G177"/>
  <c r="H169" i="20"/>
  <c r="H177" s="1"/>
  <c r="H178" s="1"/>
  <c r="D170"/>
  <c r="D30" i="1"/>
  <c r="D155" i="2"/>
  <c r="D152"/>
  <c r="D153"/>
  <c r="G153" i="26"/>
  <c r="I153" i="2"/>
  <c r="H151" i="26"/>
  <c r="H45" s="1"/>
  <c r="H153" i="2"/>
  <c r="D157"/>
  <c r="D156" s="1"/>
  <c r="D32" i="32"/>
  <c r="H41"/>
  <c r="H30"/>
  <c r="H44" s="1"/>
  <c r="G37"/>
  <c r="H32" i="33"/>
  <c r="H172" s="1"/>
  <c r="D41" i="20"/>
  <c r="I151" i="26"/>
  <c r="I45" s="1"/>
  <c r="D37" i="27"/>
  <c r="G42"/>
  <c r="G34"/>
  <c r="H32"/>
  <c r="H172" s="1"/>
  <c r="G37" i="28"/>
  <c r="G151" i="1"/>
  <c r="G45" s="1"/>
  <c r="I42" i="20"/>
  <c r="I39" s="1"/>
  <c r="H38"/>
  <c r="D33"/>
  <c r="I30"/>
  <c r="I44" s="1"/>
  <c r="I33" i="32"/>
  <c r="I173" s="1"/>
  <c r="D37" i="20"/>
  <c r="G42"/>
  <c r="G34"/>
  <c r="I39" i="26"/>
  <c r="D39" s="1"/>
  <c r="D42"/>
  <c r="G157"/>
  <c r="D37" i="11"/>
  <c r="G42"/>
  <c r="H32"/>
  <c r="H172" s="1"/>
  <c r="G34"/>
  <c r="G37" i="29"/>
  <c r="D42" i="1"/>
  <c r="G39"/>
  <c r="H34"/>
  <c r="D34" s="1"/>
  <c r="D38"/>
  <c r="H43"/>
  <c r="H38" i="27"/>
  <c r="H38" i="11"/>
  <c r="I151" i="1"/>
  <c r="I45" s="1"/>
  <c r="D30" i="26"/>
  <c r="D172" i="27" l="1"/>
  <c r="H170"/>
  <c r="G177"/>
  <c r="D172" i="11"/>
  <c r="H170"/>
  <c r="G177"/>
  <c r="H169" i="32"/>
  <c r="H177" s="1"/>
  <c r="H178" s="1"/>
  <c r="D177" i="20"/>
  <c r="D178" s="1"/>
  <c r="D173" i="32"/>
  <c r="I170"/>
  <c r="I169" s="1"/>
  <c r="I177" s="1"/>
  <c r="I178" s="1"/>
  <c r="D172" i="33"/>
  <c r="H170"/>
  <c r="G177"/>
  <c r="G178" i="32"/>
  <c r="H155" i="26"/>
  <c r="H157" s="1"/>
  <c r="H152"/>
  <c r="I153" i="1"/>
  <c r="H153" i="26"/>
  <c r="I152" i="1"/>
  <c r="G152"/>
  <c r="I153" i="26"/>
  <c r="I152"/>
  <c r="I155" i="1"/>
  <c r="I157" s="1"/>
  <c r="D38" i="11"/>
  <c r="H34"/>
  <c r="H43"/>
  <c r="D43" s="1"/>
  <c r="I33"/>
  <c r="I173" s="1"/>
  <c r="H38" i="29"/>
  <c r="D43" i="1"/>
  <c r="H39"/>
  <c r="D34" i="11"/>
  <c r="G151"/>
  <c r="G45" s="1"/>
  <c r="G39"/>
  <c r="G151" i="20"/>
  <c r="G45" s="1"/>
  <c r="I151"/>
  <c r="I45" s="1"/>
  <c r="H34"/>
  <c r="D34" s="1"/>
  <c r="D38"/>
  <c r="H43"/>
  <c r="D32" i="27"/>
  <c r="H41"/>
  <c r="H30"/>
  <c r="H44" s="1"/>
  <c r="G39"/>
  <c r="I155" i="26"/>
  <c r="D151"/>
  <c r="D32" i="33"/>
  <c r="H41"/>
  <c r="H30"/>
  <c r="H44" s="1"/>
  <c r="G37"/>
  <c r="D41" i="32"/>
  <c r="H151" i="1"/>
  <c r="H45" s="1"/>
  <c r="H34" i="27"/>
  <c r="H43"/>
  <c r="D43" s="1"/>
  <c r="D38"/>
  <c r="I33"/>
  <c r="I173" s="1"/>
  <c r="H38" i="28"/>
  <c r="D37" i="29"/>
  <c r="G34"/>
  <c r="G42"/>
  <c r="H32"/>
  <c r="H172" s="1"/>
  <c r="G37" i="30"/>
  <c r="D32" i="11"/>
  <c r="H41"/>
  <c r="H30"/>
  <c r="H44" s="1"/>
  <c r="D42" i="20"/>
  <c r="G39"/>
  <c r="D33" i="32"/>
  <c r="H38"/>
  <c r="I42"/>
  <c r="I39" s="1"/>
  <c r="I30"/>
  <c r="I44" s="1"/>
  <c r="I33" i="33"/>
  <c r="I173" s="1"/>
  <c r="G155" i="1"/>
  <c r="D37" i="28"/>
  <c r="G42"/>
  <c r="G34"/>
  <c r="H32"/>
  <c r="H172" s="1"/>
  <c r="D34" i="27"/>
  <c r="G151"/>
  <c r="G45" s="1"/>
  <c r="D37" i="32"/>
  <c r="G42"/>
  <c r="G34"/>
  <c r="D39" i="1"/>
  <c r="D30" i="20"/>
  <c r="D173" i="27" l="1"/>
  <c r="I170"/>
  <c r="I169" s="1"/>
  <c r="G178"/>
  <c r="D172" i="28"/>
  <c r="H170"/>
  <c r="G177"/>
  <c r="H169" i="27"/>
  <c r="H177" s="1"/>
  <c r="H178" s="1"/>
  <c r="D170"/>
  <c r="D173" i="33"/>
  <c r="I170"/>
  <c r="I169" s="1"/>
  <c r="I177" s="1"/>
  <c r="I178" s="1"/>
  <c r="G178"/>
  <c r="G178" i="11"/>
  <c r="D177" i="32"/>
  <c r="D178" s="1"/>
  <c r="D170"/>
  <c r="D172" i="29"/>
  <c r="H170"/>
  <c r="G177"/>
  <c r="D173" i="11"/>
  <c r="I170"/>
  <c r="I169" s="1"/>
  <c r="H169" i="33"/>
  <c r="H177" s="1"/>
  <c r="H178" s="1"/>
  <c r="D170"/>
  <c r="H169" i="11"/>
  <c r="H177" s="1"/>
  <c r="H178" s="1"/>
  <c r="D170"/>
  <c r="G152" i="27"/>
  <c r="I153" i="20"/>
  <c r="G153" i="1"/>
  <c r="I152" i="20"/>
  <c r="H152" i="1"/>
  <c r="D152" i="26"/>
  <c r="D153"/>
  <c r="G152" i="20"/>
  <c r="G152" i="11"/>
  <c r="D30" i="32"/>
  <c r="D151" i="1"/>
  <c r="H151" i="20"/>
  <c r="H45" s="1"/>
  <c r="G151" i="32"/>
  <c r="G45" s="1"/>
  <c r="G151" i="28"/>
  <c r="G45" s="1"/>
  <c r="G157" i="1"/>
  <c r="I42" i="33"/>
  <c r="I39" s="1"/>
  <c r="D33"/>
  <c r="H38"/>
  <c r="I30"/>
  <c r="I44" s="1"/>
  <c r="D41" i="11"/>
  <c r="H39"/>
  <c r="D37" i="30"/>
  <c r="H32"/>
  <c r="H172" s="1"/>
  <c r="G42"/>
  <c r="G34"/>
  <c r="G39" i="29"/>
  <c r="I42" i="27"/>
  <c r="D33"/>
  <c r="I30"/>
  <c r="I44" s="1"/>
  <c r="H155" i="1"/>
  <c r="H157" s="1"/>
  <c r="D41" i="33"/>
  <c r="H39" i="27"/>
  <c r="D41"/>
  <c r="D43" i="20"/>
  <c r="H39"/>
  <c r="D39" s="1"/>
  <c r="G155" i="11"/>
  <c r="H34" i="29"/>
  <c r="D34" s="1"/>
  <c r="D38"/>
  <c r="H43"/>
  <c r="D43" s="1"/>
  <c r="I33"/>
  <c r="I173" s="1"/>
  <c r="H38" i="30"/>
  <c r="D42" i="32"/>
  <c r="G39"/>
  <c r="G155" i="27"/>
  <c r="D32" i="28"/>
  <c r="H30"/>
  <c r="H44" s="1"/>
  <c r="H41"/>
  <c r="G39"/>
  <c r="I151" i="32"/>
  <c r="I45" s="1"/>
  <c r="D38"/>
  <c r="H43"/>
  <c r="H34"/>
  <c r="D34" s="1"/>
  <c r="H41" i="29"/>
  <c r="D32"/>
  <c r="H30"/>
  <c r="H44" s="1"/>
  <c r="G151"/>
  <c r="D38" i="28"/>
  <c r="H43"/>
  <c r="D43" s="1"/>
  <c r="H34"/>
  <c r="D34" s="1"/>
  <c r="I33"/>
  <c r="I173" s="1"/>
  <c r="D37" i="33"/>
  <c r="G42"/>
  <c r="G34"/>
  <c r="I157" i="26"/>
  <c r="D157" s="1"/>
  <c r="D155"/>
  <c r="I155" i="20"/>
  <c r="I157" s="1"/>
  <c r="G155"/>
  <c r="D33" i="11"/>
  <c r="I30"/>
  <c r="I44" s="1"/>
  <c r="I42"/>
  <c r="G178" i="28" l="1"/>
  <c r="D173"/>
  <c r="I170"/>
  <c r="I169" s="1"/>
  <c r="H169"/>
  <c r="H177" s="1"/>
  <c r="H178" s="1"/>
  <c r="D170"/>
  <c r="I177" i="27"/>
  <c r="I178" s="1"/>
  <c r="D173" i="29"/>
  <c r="I170"/>
  <c r="I169" s="1"/>
  <c r="H169"/>
  <c r="H177" s="1"/>
  <c r="H178" s="1"/>
  <c r="D170"/>
  <c r="D172" i="30"/>
  <c r="H170"/>
  <c r="G177"/>
  <c r="I177" i="11"/>
  <c r="I178" s="1"/>
  <c r="G178" i="29"/>
  <c r="D177" i="33"/>
  <c r="D178" s="1"/>
  <c r="H155" i="20"/>
  <c r="H157" s="1"/>
  <c r="D30" i="33"/>
  <c r="D151" i="20"/>
  <c r="D152" s="1"/>
  <c r="G152" i="29"/>
  <c r="G45" s="1"/>
  <c r="I153" i="32"/>
  <c r="G152"/>
  <c r="D152" i="1"/>
  <c r="D153"/>
  <c r="G153" i="27"/>
  <c r="I152" i="32"/>
  <c r="G152" i="28"/>
  <c r="H152" i="20"/>
  <c r="G153" i="11"/>
  <c r="G153" i="20"/>
  <c r="H153" i="1"/>
  <c r="H151" i="32"/>
  <c r="H45" s="1"/>
  <c r="D30" i="27"/>
  <c r="D156" i="26"/>
  <c r="D42" i="33"/>
  <c r="G39"/>
  <c r="I39" i="11"/>
  <c r="D39" s="1"/>
  <c r="D42"/>
  <c r="I151"/>
  <c r="I45" s="1"/>
  <c r="D155" i="20"/>
  <c r="G157"/>
  <c r="D157" s="1"/>
  <c r="G151" i="33"/>
  <c r="G45" s="1"/>
  <c r="H39" i="29"/>
  <c r="D41"/>
  <c r="D43" i="32"/>
  <c r="H39"/>
  <c r="D39" s="1"/>
  <c r="I155"/>
  <c r="I157" s="1"/>
  <c r="H39" i="28"/>
  <c r="D41"/>
  <c r="D33" i="29"/>
  <c r="I42"/>
  <c r="I30"/>
  <c r="I44" s="1"/>
  <c r="G157" i="11"/>
  <c r="H151" i="27"/>
  <c r="H45" s="1"/>
  <c r="I39"/>
  <c r="D39" s="1"/>
  <c r="D42"/>
  <c r="G39" i="30"/>
  <c r="D30" i="11"/>
  <c r="D155" i="1"/>
  <c r="I42" i="28"/>
  <c r="D33"/>
  <c r="I30"/>
  <c r="I44" s="1"/>
  <c r="G155" i="29"/>
  <c r="H151" i="11"/>
  <c r="H45" s="1"/>
  <c r="G157" i="27"/>
  <c r="H34" i="30"/>
  <c r="D34" s="1"/>
  <c r="H43"/>
  <c r="D43" s="1"/>
  <c r="D38"/>
  <c r="I33"/>
  <c r="I173" s="1"/>
  <c r="I151" i="27"/>
  <c r="I45" s="1"/>
  <c r="D32" i="30"/>
  <c r="H30"/>
  <c r="H44" s="1"/>
  <c r="H41"/>
  <c r="I151" i="33"/>
  <c r="I45" s="1"/>
  <c r="D38"/>
  <c r="H43"/>
  <c r="H34"/>
  <c r="D34" s="1"/>
  <c r="G155" i="28"/>
  <c r="G155" i="32"/>
  <c r="D157" i="1"/>
  <c r="D177" i="27" l="1"/>
  <c r="D178" s="1"/>
  <c r="I177" i="28"/>
  <c r="D177" s="1"/>
  <c r="D178" s="1"/>
  <c r="D177" i="11"/>
  <c r="D178" s="1"/>
  <c r="G178" i="30"/>
  <c r="D173"/>
  <c r="I170"/>
  <c r="I169" s="1"/>
  <c r="H169"/>
  <c r="H177" s="1"/>
  <c r="H178" s="1"/>
  <c r="D170"/>
  <c r="I177" i="29"/>
  <c r="D177" s="1"/>
  <c r="D178" s="1"/>
  <c r="D153" i="20"/>
  <c r="H153" i="11"/>
  <c r="G152" i="33"/>
  <c r="H153" i="20"/>
  <c r="G153" i="28"/>
  <c r="G153" i="29"/>
  <c r="G47" i="30" s="1"/>
  <c r="G46" s="1"/>
  <c r="I152" i="33"/>
  <c r="H152" i="27"/>
  <c r="H152" i="11"/>
  <c r="I153" i="33"/>
  <c r="I153" i="27"/>
  <c r="H153"/>
  <c r="I153" i="11"/>
  <c r="H152" i="32"/>
  <c r="G153"/>
  <c r="I152" i="27"/>
  <c r="I152" i="11"/>
  <c r="D151" i="32"/>
  <c r="H155"/>
  <c r="H157" s="1"/>
  <c r="D30" i="29"/>
  <c r="D156" i="1"/>
  <c r="D156" i="20"/>
  <c r="D30" i="28"/>
  <c r="D43" i="33"/>
  <c r="H39"/>
  <c r="G157" i="32"/>
  <c r="G157" i="28"/>
  <c r="H39" i="30"/>
  <c r="D41"/>
  <c r="D33"/>
  <c r="I42"/>
  <c r="I30"/>
  <c r="I44" s="1"/>
  <c r="H151" i="29"/>
  <c r="I39" i="28"/>
  <c r="D39" s="1"/>
  <c r="D42"/>
  <c r="G155" i="33"/>
  <c r="D39"/>
  <c r="I155"/>
  <c r="I157" s="1"/>
  <c r="I155" i="27"/>
  <c r="I157" s="1"/>
  <c r="H151" i="28"/>
  <c r="H45" s="1"/>
  <c r="H155" i="11"/>
  <c r="D151"/>
  <c r="G157" i="29"/>
  <c r="I151" i="28"/>
  <c r="I45" s="1"/>
  <c r="H155" i="27"/>
  <c r="D151"/>
  <c r="I151" i="29"/>
  <c r="I39"/>
  <c r="D39" s="1"/>
  <c r="D42"/>
  <c r="I155" i="11"/>
  <c r="I157" s="1"/>
  <c r="H151" i="33"/>
  <c r="H45" s="1"/>
  <c r="I178" i="28" l="1"/>
  <c r="I177" i="30"/>
  <c r="I178" s="1"/>
  <c r="I178" i="29"/>
  <c r="D177" i="30"/>
  <c r="D178" s="1"/>
  <c r="H153" i="28"/>
  <c r="D30" i="30"/>
  <c r="H152" i="33"/>
  <c r="D152" i="27"/>
  <c r="D153"/>
  <c r="I153" i="28"/>
  <c r="D152" i="11"/>
  <c r="D153"/>
  <c r="I152" i="29"/>
  <c r="I45" s="1"/>
  <c r="I152" i="28"/>
  <c r="H152" i="29"/>
  <c r="H45" s="1"/>
  <c r="D152" i="32"/>
  <c r="D153"/>
  <c r="H153"/>
  <c r="G153" i="33"/>
  <c r="H152" i="28"/>
  <c r="D157" i="32"/>
  <c r="D155"/>
  <c r="I155" i="29"/>
  <c r="I157" s="1"/>
  <c r="I155" i="28"/>
  <c r="I157" s="1"/>
  <c r="H157" i="11"/>
  <c r="D157" s="1"/>
  <c r="D155"/>
  <c r="H155" i="28"/>
  <c r="D151"/>
  <c r="G157" i="33"/>
  <c r="I39" i="30"/>
  <c r="D39" s="1"/>
  <c r="D42"/>
  <c r="H155" i="33"/>
  <c r="H157" s="1"/>
  <c r="H157" i="27"/>
  <c r="D157" s="1"/>
  <c r="D155"/>
  <c r="H155" i="29"/>
  <c r="D151"/>
  <c r="D151" i="33"/>
  <c r="H153" i="29" l="1"/>
  <c r="H47" i="30" s="1"/>
  <c r="H46" s="1"/>
  <c r="I153" i="29"/>
  <c r="I47" i="30" s="1"/>
  <c r="I46" s="1"/>
  <c r="H151"/>
  <c r="H45" s="1"/>
  <c r="G151"/>
  <c r="G45" s="1"/>
  <c r="D47"/>
  <c r="D156" i="32"/>
  <c r="D152" i="29"/>
  <c r="D153"/>
  <c r="D152" i="28"/>
  <c r="D153"/>
  <c r="H153" i="33"/>
  <c r="D152"/>
  <c r="D153"/>
  <c r="H157" i="29"/>
  <c r="D157" s="1"/>
  <c r="D155"/>
  <c r="H157" i="28"/>
  <c r="D157" s="1"/>
  <c r="D155"/>
  <c r="D155" i="33"/>
  <c r="D156" i="11"/>
  <c r="D156" i="27"/>
  <c r="D157" i="33"/>
  <c r="D46" i="30" l="1"/>
  <c r="H153"/>
  <c r="H155"/>
  <c r="H152"/>
  <c r="I151"/>
  <c r="I45" s="1"/>
  <c r="G153"/>
  <c r="G155"/>
  <c r="G157" s="1"/>
  <c r="G152"/>
  <c r="D156" i="28"/>
  <c r="D156" i="33"/>
  <c r="H157" i="30"/>
  <c r="D156" i="29"/>
  <c r="I153" i="30" l="1"/>
  <c r="I152"/>
  <c r="I155"/>
  <c r="D151"/>
  <c r="D153" l="1"/>
  <c r="D152"/>
  <c r="I157"/>
  <c r="D157" s="1"/>
  <c r="D155"/>
  <c r="E158" i="2"/>
  <c r="E158" i="26" s="1"/>
  <c r="G158" i="2"/>
  <c r="I158"/>
  <c r="H158"/>
  <c r="H159" s="1"/>
  <c r="F158"/>
  <c r="F159" s="1"/>
  <c r="D156" i="30" l="1"/>
  <c r="I158" i="26"/>
  <c r="I161" s="1"/>
  <c r="I163" s="1"/>
  <c r="I159" i="2"/>
  <c r="G158" i="26"/>
  <c r="G161" s="1"/>
  <c r="G163" s="1"/>
  <c r="G159" i="2"/>
  <c r="I161"/>
  <c r="I163" s="1"/>
  <c r="G161"/>
  <c r="G163" s="1"/>
  <c r="F161"/>
  <c r="F163" s="1"/>
  <c r="E161" i="26"/>
  <c r="H161" i="2"/>
  <c r="H163" s="1"/>
  <c r="I158" i="1"/>
  <c r="G158"/>
  <c r="F158"/>
  <c r="F158" i="26"/>
  <c r="D158" i="2"/>
  <c r="H158" i="1"/>
  <c r="E161" i="2"/>
  <c r="H158" i="26"/>
  <c r="D161" i="2" l="1"/>
  <c r="D163" s="1"/>
  <c r="H159" i="26"/>
  <c r="H160"/>
  <c r="H159" i="1"/>
  <c r="H160"/>
  <c r="F159" i="26"/>
  <c r="F160"/>
  <c r="G159" i="1"/>
  <c r="G160"/>
  <c r="H162" i="2"/>
  <c r="I162" i="26"/>
  <c r="F162" i="2"/>
  <c r="I162"/>
  <c r="G159" i="26"/>
  <c r="G160"/>
  <c r="I159"/>
  <c r="I160"/>
  <c r="D162" i="2"/>
  <c r="D159"/>
  <c r="D160"/>
  <c r="F159" i="1"/>
  <c r="F160"/>
  <c r="I159"/>
  <c r="I160"/>
  <c r="G162" i="26"/>
  <c r="G162" i="2"/>
  <c r="H161" i="26"/>
  <c r="H163" s="1"/>
  <c r="F161"/>
  <c r="F163" s="1"/>
  <c r="G158" i="11"/>
  <c r="G158" i="27"/>
  <c r="G161" i="1"/>
  <c r="G163" s="1"/>
  <c r="D158" i="26"/>
  <c r="H158" i="27"/>
  <c r="H161" i="1"/>
  <c r="H163" s="1"/>
  <c r="H158" i="11"/>
  <c r="F158" i="27"/>
  <c r="D158" i="1"/>
  <c r="F158" i="11"/>
  <c r="F161" i="1"/>
  <c r="F163" s="1"/>
  <c r="I158" i="27"/>
  <c r="I158" i="11"/>
  <c r="I161" i="1"/>
  <c r="I163" s="1"/>
  <c r="D161" i="26" l="1"/>
  <c r="I162" i="1"/>
  <c r="I159" i="11"/>
  <c r="I160"/>
  <c r="F162" i="1"/>
  <c r="D159"/>
  <c r="D160"/>
  <c r="H159" i="11"/>
  <c r="H160"/>
  <c r="H159" i="27"/>
  <c r="H160"/>
  <c r="G162" i="1"/>
  <c r="G159" i="11"/>
  <c r="G160"/>
  <c r="H162" i="26"/>
  <c r="I159" i="27"/>
  <c r="I160"/>
  <c r="F159" i="11"/>
  <c r="F160"/>
  <c r="F159" i="27"/>
  <c r="F160"/>
  <c r="H162" i="1"/>
  <c r="D159" i="26"/>
  <c r="D160"/>
  <c r="G159" i="27"/>
  <c r="G160"/>
  <c r="F162" i="26"/>
  <c r="I158" i="28"/>
  <c r="I161" i="27"/>
  <c r="I163" s="1"/>
  <c r="D161" i="1"/>
  <c r="D163" s="1"/>
  <c r="F161" i="11"/>
  <c r="F163" s="1"/>
  <c r="F158" i="29"/>
  <c r="D158" i="11"/>
  <c r="F158" i="20"/>
  <c r="F161" i="27"/>
  <c r="F163" s="1"/>
  <c r="F158" i="28"/>
  <c r="D158" i="27"/>
  <c r="H158" i="20"/>
  <c r="H161" i="11"/>
  <c r="H163" s="1"/>
  <c r="H158" i="29"/>
  <c r="H158" i="28"/>
  <c r="H161" i="27"/>
  <c r="H163" s="1"/>
  <c r="I158" i="29"/>
  <c r="I161" i="11"/>
  <c r="I163" s="1"/>
  <c r="I158" i="20"/>
  <c r="G158" i="28"/>
  <c r="G161" i="27"/>
  <c r="G163" s="1"/>
  <c r="G161" i="11"/>
  <c r="G163" s="1"/>
  <c r="G158" i="20"/>
  <c r="G158" i="29"/>
  <c r="D162" i="26" l="1"/>
  <c r="D163"/>
  <c r="G162" i="27"/>
  <c r="I159" i="20"/>
  <c r="I160"/>
  <c r="H159" i="28"/>
  <c r="H160"/>
  <c r="D159" i="27"/>
  <c r="D160"/>
  <c r="F162"/>
  <c r="F162" i="11"/>
  <c r="G159" i="29"/>
  <c r="G160"/>
  <c r="G162" i="11"/>
  <c r="G159" i="28"/>
  <c r="G160"/>
  <c r="I162" i="11"/>
  <c r="H162" i="27"/>
  <c r="H159" i="29"/>
  <c r="H160"/>
  <c r="H159" i="20"/>
  <c r="H160"/>
  <c r="F159" i="28"/>
  <c r="F160"/>
  <c r="F159" i="20"/>
  <c r="F160"/>
  <c r="F159" i="29"/>
  <c r="F160"/>
  <c r="D162" i="1"/>
  <c r="I159" i="28"/>
  <c r="I160"/>
  <c r="G159" i="20"/>
  <c r="G160"/>
  <c r="I159" i="29"/>
  <c r="I160"/>
  <c r="H162" i="11"/>
  <c r="D159"/>
  <c r="D160"/>
  <c r="I162" i="27"/>
  <c r="G161" i="28"/>
  <c r="G163" s="1"/>
  <c r="G158" i="30"/>
  <c r="G161" i="29"/>
  <c r="G163" s="1"/>
  <c r="I158" i="30"/>
  <c r="I161" i="29"/>
  <c r="I163" s="1"/>
  <c r="H161" i="28"/>
  <c r="H163" s="1"/>
  <c r="D161" i="27"/>
  <c r="D163" s="1"/>
  <c r="F161" i="20"/>
  <c r="F163" s="1"/>
  <c r="F158" i="32"/>
  <c r="D158" i="20"/>
  <c r="D161" i="11"/>
  <c r="D163" s="1"/>
  <c r="G158" i="32"/>
  <c r="G161" i="20"/>
  <c r="G163" s="1"/>
  <c r="I161"/>
  <c r="I163" s="1"/>
  <c r="I158" i="32"/>
  <c r="H161" i="29"/>
  <c r="H163" s="1"/>
  <c r="H158" i="30"/>
  <c r="H161" i="20"/>
  <c r="H163" s="1"/>
  <c r="H158" i="32"/>
  <c r="F161" i="28"/>
  <c r="F163" s="1"/>
  <c r="D158"/>
  <c r="F161" i="29"/>
  <c r="F163" s="1"/>
  <c r="F158" i="30"/>
  <c r="D158" i="29"/>
  <c r="I161" i="28"/>
  <c r="I163" s="1"/>
  <c r="F162" i="29" l="1"/>
  <c r="H162" i="20"/>
  <c r="I162" i="28"/>
  <c r="F159" i="30"/>
  <c r="F161"/>
  <c r="F163" s="1"/>
  <c r="F160"/>
  <c r="D159" i="28"/>
  <c r="D160"/>
  <c r="H159" i="32"/>
  <c r="H160"/>
  <c r="H162" i="29"/>
  <c r="I162" i="20"/>
  <c r="G162"/>
  <c r="F159" i="32"/>
  <c r="F160"/>
  <c r="D162" i="27"/>
  <c r="I162" i="29"/>
  <c r="G162"/>
  <c r="G162" i="28"/>
  <c r="D159" i="29"/>
  <c r="D160"/>
  <c r="F162" i="28"/>
  <c r="H159" i="30"/>
  <c r="H160"/>
  <c r="I159" i="32"/>
  <c r="I160"/>
  <c r="G159"/>
  <c r="G160"/>
  <c r="D162" i="11"/>
  <c r="D159" i="20"/>
  <c r="D160"/>
  <c r="F162"/>
  <c r="H162" i="28"/>
  <c r="I159" i="30"/>
  <c r="I160"/>
  <c r="G159"/>
  <c r="G161"/>
  <c r="G163" s="1"/>
  <c r="G160"/>
  <c r="D158"/>
  <c r="H158" i="33"/>
  <c r="H161" i="32"/>
  <c r="H163" s="1"/>
  <c r="I158" i="33"/>
  <c r="I161" i="32"/>
  <c r="I163" s="1"/>
  <c r="G158" i="33"/>
  <c r="G161" i="32"/>
  <c r="G163" s="1"/>
  <c r="D161" i="20"/>
  <c r="D163" s="1"/>
  <c r="I161" i="30"/>
  <c r="I163" s="1"/>
  <c r="D161" i="29"/>
  <c r="D163" s="1"/>
  <c r="D161" i="28"/>
  <c r="D163" s="1"/>
  <c r="H161" i="30"/>
  <c r="H163" s="1"/>
  <c r="F161" i="32"/>
  <c r="F163" s="1"/>
  <c r="D158"/>
  <c r="F158" i="33"/>
  <c r="F159" l="1"/>
  <c r="F160"/>
  <c r="H162" i="30"/>
  <c r="D159" i="32"/>
  <c r="D160"/>
  <c r="D162" i="29"/>
  <c r="D162" i="20"/>
  <c r="G159" i="33"/>
  <c r="G160"/>
  <c r="I162" i="32"/>
  <c r="H162"/>
  <c r="D159" i="30"/>
  <c r="D160"/>
  <c r="G162"/>
  <c r="F162" i="32"/>
  <c r="D162" i="28"/>
  <c r="I162" i="30"/>
  <c r="G162" i="32"/>
  <c r="I159" i="33"/>
  <c r="I160"/>
  <c r="H159"/>
  <c r="H160"/>
  <c r="F162" i="30"/>
  <c r="D161" i="32"/>
  <c r="D163" s="1"/>
  <c r="D158" i="33"/>
  <c r="F161"/>
  <c r="F163" s="1"/>
  <c r="G161"/>
  <c r="G163" s="1"/>
  <c r="I161"/>
  <c r="I163" s="1"/>
  <c r="H161"/>
  <c r="H163" s="1"/>
  <c r="D161" i="30"/>
  <c r="D163" s="1"/>
  <c r="I162" i="33" l="1"/>
  <c r="H162"/>
  <c r="G162"/>
  <c r="D159"/>
  <c r="D160"/>
  <c r="D162" i="32"/>
  <c r="D162" i="30"/>
  <c r="F162" i="33"/>
  <c r="D161"/>
  <c r="D163" s="1"/>
  <c r="D162" l="1"/>
  <c r="J50" i="2" l="1"/>
  <c r="N50" i="26"/>
  <c r="N172" s="1"/>
  <c r="N151" i="2"/>
  <c r="N45" s="1"/>
  <c r="J172" i="26" l="1"/>
  <c r="N170"/>
  <c r="M177"/>
  <c r="J47" i="2"/>
  <c r="M47" i="26"/>
  <c r="M46" s="1"/>
  <c r="N152" i="2"/>
  <c r="N161"/>
  <c r="N162" s="1"/>
  <c r="N155"/>
  <c r="N157" s="1"/>
  <c r="N47" i="26"/>
  <c r="N46" s="1"/>
  <c r="J50"/>
  <c r="J46" l="1"/>
  <c r="M178"/>
  <c r="N169"/>
  <c r="N177" s="1"/>
  <c r="N178" s="1"/>
  <c r="J170"/>
  <c r="N163" i="2"/>
  <c r="N151" i="26"/>
  <c r="N45" s="1"/>
  <c r="N47" i="27"/>
  <c r="N46" s="1"/>
  <c r="N151" i="1"/>
  <c r="N45" s="1"/>
  <c r="N47" i="20"/>
  <c r="N46" s="1"/>
  <c r="N47" i="11"/>
  <c r="N46" s="1"/>
  <c r="N160" i="2"/>
  <c r="N153"/>
  <c r="J47" i="26"/>
  <c r="M151" i="2"/>
  <c r="M45" s="1"/>
  <c r="J177" i="26" l="1"/>
  <c r="J178" s="1"/>
  <c r="N47" i="29"/>
  <c r="N46" s="1"/>
  <c r="N152" i="26"/>
  <c r="N155"/>
  <c r="N157" s="1"/>
  <c r="N161"/>
  <c r="N162" s="1"/>
  <c r="N47" i="32"/>
  <c r="N151" i="20"/>
  <c r="N45" s="1"/>
  <c r="N47" i="28"/>
  <c r="N46" s="1"/>
  <c r="N151" i="27"/>
  <c r="N45" s="1"/>
  <c r="M151" i="1"/>
  <c r="M45" s="1"/>
  <c r="M161" i="2"/>
  <c r="M163" s="1"/>
  <c r="M155"/>
  <c r="M152"/>
  <c r="J151"/>
  <c r="M151" i="26"/>
  <c r="M45" s="1"/>
  <c r="N160"/>
  <c r="N153"/>
  <c r="N151" i="11"/>
  <c r="N45" s="1"/>
  <c r="N152" i="1"/>
  <c r="N161"/>
  <c r="N162" s="1"/>
  <c r="N155"/>
  <c r="N157" s="1"/>
  <c r="N46" i="32" l="1"/>
  <c r="N47" i="33"/>
  <c r="N46" s="1"/>
  <c r="N151" s="1"/>
  <c r="N163" i="26"/>
  <c r="N163" i="1"/>
  <c r="N151" i="28"/>
  <c r="N45" s="1"/>
  <c r="N151" i="32"/>
  <c r="N45" s="1"/>
  <c r="N153" i="1"/>
  <c r="N160"/>
  <c r="N151" i="29"/>
  <c r="N152" i="11"/>
  <c r="N161"/>
  <c r="N162" s="1"/>
  <c r="N155"/>
  <c r="N157" s="1"/>
  <c r="M152" i="26"/>
  <c r="J151"/>
  <c r="M155"/>
  <c r="M161"/>
  <c r="M163" s="1"/>
  <c r="J152" i="2"/>
  <c r="J153"/>
  <c r="J155"/>
  <c r="M157"/>
  <c r="J157" s="1"/>
  <c r="M152" i="1"/>
  <c r="J151"/>
  <c r="M161"/>
  <c r="M163" s="1"/>
  <c r="M155"/>
  <c r="N152" i="27"/>
  <c r="N161"/>
  <c r="N162" s="1"/>
  <c r="N155"/>
  <c r="N157" s="1"/>
  <c r="N155" i="20"/>
  <c r="N157" s="1"/>
  <c r="N161"/>
  <c r="N162" s="1"/>
  <c r="N152"/>
  <c r="M162" i="2"/>
  <c r="J161"/>
  <c r="J163" s="1"/>
  <c r="M160"/>
  <c r="M153"/>
  <c r="N45" i="33" l="1"/>
  <c r="N155"/>
  <c r="N157" s="1"/>
  <c r="N161"/>
  <c r="N162" s="1"/>
  <c r="N152"/>
  <c r="N163" i="11"/>
  <c r="N163" i="20"/>
  <c r="N163" i="27"/>
  <c r="N161" i="28"/>
  <c r="N162" s="1"/>
  <c r="N152"/>
  <c r="N155"/>
  <c r="N157" s="1"/>
  <c r="N161" i="32"/>
  <c r="N162" s="1"/>
  <c r="N152"/>
  <c r="N155"/>
  <c r="N157" s="1"/>
  <c r="J162" i="2"/>
  <c r="N153" i="20"/>
  <c r="N160"/>
  <c r="N160" i="27"/>
  <c r="N153"/>
  <c r="J155" i="1"/>
  <c r="M157"/>
  <c r="J157" s="1"/>
  <c r="J153"/>
  <c r="J152"/>
  <c r="M160" i="26"/>
  <c r="M153"/>
  <c r="J152"/>
  <c r="J153"/>
  <c r="M153" i="1"/>
  <c r="M160"/>
  <c r="M162"/>
  <c r="J161"/>
  <c r="J163" s="1"/>
  <c r="M162" i="26"/>
  <c r="J161"/>
  <c r="J163" s="1"/>
  <c r="J155"/>
  <c r="M157"/>
  <c r="J157" s="1"/>
  <c r="N160" i="11"/>
  <c r="N153"/>
  <c r="N152" i="29"/>
  <c r="N45" s="1"/>
  <c r="N161"/>
  <c r="N162" s="1"/>
  <c r="N155"/>
  <c r="N157" s="1"/>
  <c r="J156" i="2"/>
  <c r="N160" i="33" l="1"/>
  <c r="N163"/>
  <c r="N153"/>
  <c r="N163" i="32"/>
  <c r="N163" i="28"/>
  <c r="N160"/>
  <c r="N153"/>
  <c r="N163" i="29"/>
  <c r="N160" i="32"/>
  <c r="N153"/>
  <c r="J156" i="26"/>
  <c r="J156" i="1"/>
  <c r="N153" i="29"/>
  <c r="N47" i="30" s="1"/>
  <c r="N46" s="1"/>
  <c r="N160" i="29"/>
  <c r="J162" i="26"/>
  <c r="J162" i="1"/>
  <c r="N151" i="30" l="1"/>
  <c r="N45" s="1"/>
  <c r="N152" l="1"/>
  <c r="N155"/>
  <c r="N157" s="1"/>
  <c r="N160"/>
  <c r="N161"/>
  <c r="N162" s="1"/>
  <c r="J47" i="6"/>
  <c r="M47" i="27"/>
  <c r="M46" s="1"/>
  <c r="J46" s="1"/>
  <c r="N50"/>
  <c r="M47" i="12"/>
  <c r="M46" s="1"/>
  <c r="J46" s="1"/>
  <c r="J47" i="27" l="1"/>
  <c r="N153" i="30"/>
  <c r="N163"/>
  <c r="N172" i="27"/>
  <c r="J50"/>
  <c r="N50" i="28"/>
  <c r="N172" s="1"/>
  <c r="M151" i="12"/>
  <c r="M47" i="11"/>
  <c r="M46" s="1"/>
  <c r="J46" s="1"/>
  <c r="M47" i="28"/>
  <c r="M46" s="1"/>
  <c r="J46" s="1"/>
  <c r="N172" i="6"/>
  <c r="J47" i="12"/>
  <c r="J50" i="6"/>
  <c r="M47" i="20"/>
  <c r="M46" s="1"/>
  <c r="J46" s="1"/>
  <c r="N50" i="12"/>
  <c r="M151" i="6"/>
  <c r="M45" i="12" l="1"/>
  <c r="M45" i="6"/>
  <c r="J172" i="28"/>
  <c r="N170"/>
  <c r="M177"/>
  <c r="M161" i="6"/>
  <c r="M152"/>
  <c r="J151"/>
  <c r="M155"/>
  <c r="M151" i="27"/>
  <c r="M45" s="1"/>
  <c r="J47" i="28"/>
  <c r="J151" i="12"/>
  <c r="M161"/>
  <c r="M155"/>
  <c r="M152"/>
  <c r="J50" i="28"/>
  <c r="J172" i="27"/>
  <c r="N170"/>
  <c r="M177"/>
  <c r="J50" i="12"/>
  <c r="N172"/>
  <c r="N50" i="20"/>
  <c r="N48" i="12"/>
  <c r="J48" s="1"/>
  <c r="N50" i="11"/>
  <c r="M47" i="32"/>
  <c r="J47" i="20"/>
  <c r="M177" i="6"/>
  <c r="J172"/>
  <c r="N170"/>
  <c r="J47" i="11"/>
  <c r="M47" i="29"/>
  <c r="M46" s="1"/>
  <c r="J46" s="1"/>
  <c r="M46" i="32" l="1"/>
  <c r="J46" s="1"/>
  <c r="M47" i="33"/>
  <c r="M178" i="28"/>
  <c r="N169"/>
  <c r="N177" s="1"/>
  <c r="N178" s="1"/>
  <c r="J170"/>
  <c r="M151" i="11"/>
  <c r="N169" i="6"/>
  <c r="J170"/>
  <c r="M178"/>
  <c r="M151" i="20"/>
  <c r="M45" s="1"/>
  <c r="J47" i="32"/>
  <c r="N170" i="12"/>
  <c r="J172"/>
  <c r="M177"/>
  <c r="M178" i="27"/>
  <c r="J155" i="12"/>
  <c r="M157"/>
  <c r="J157" s="1"/>
  <c r="J152"/>
  <c r="J153"/>
  <c r="M151" i="28"/>
  <c r="M45" s="1"/>
  <c r="M152" i="27"/>
  <c r="J151"/>
  <c r="M161"/>
  <c r="M155"/>
  <c r="J155" i="6"/>
  <c r="M157"/>
  <c r="J157" s="1"/>
  <c r="M160"/>
  <c r="M153"/>
  <c r="M163"/>
  <c r="J47" i="29"/>
  <c r="M47" i="30"/>
  <c r="M46" s="1"/>
  <c r="J46" s="1"/>
  <c r="N50" i="29"/>
  <c r="N172" s="1"/>
  <c r="J50" i="11"/>
  <c r="N172"/>
  <c r="J50" i="20"/>
  <c r="N172"/>
  <c r="N50" i="32"/>
  <c r="N50" i="33" s="1"/>
  <c r="J170" i="27"/>
  <c r="N169"/>
  <c r="M162" i="12"/>
  <c r="J161"/>
  <c r="M163"/>
  <c r="M153"/>
  <c r="M160"/>
  <c r="J152" i="6"/>
  <c r="J153"/>
  <c r="M162"/>
  <c r="J161"/>
  <c r="M46" i="33" l="1"/>
  <c r="J47"/>
  <c r="J50"/>
  <c r="N172"/>
  <c r="J172" i="29"/>
  <c r="N170"/>
  <c r="M177"/>
  <c r="M45" i="11"/>
  <c r="J177" i="28"/>
  <c r="J178" s="1"/>
  <c r="J156" i="6"/>
  <c r="N177" i="27"/>
  <c r="J177" s="1"/>
  <c r="J178" s="1"/>
  <c r="J50" i="32"/>
  <c r="N172"/>
  <c r="J172" i="20"/>
  <c r="M177"/>
  <c r="N170"/>
  <c r="J172" i="11"/>
  <c r="N170"/>
  <c r="M177"/>
  <c r="J50" i="29"/>
  <c r="N50" i="30"/>
  <c r="M151" i="29"/>
  <c r="J155" i="27"/>
  <c r="M157"/>
  <c r="J157" s="1"/>
  <c r="J152"/>
  <c r="J153"/>
  <c r="M152" i="28"/>
  <c r="M161"/>
  <c r="M155"/>
  <c r="J151"/>
  <c r="M178" i="12"/>
  <c r="J170"/>
  <c r="N169"/>
  <c r="N177" i="6"/>
  <c r="J177" s="1"/>
  <c r="J178" s="1"/>
  <c r="J156" i="12"/>
  <c r="J163" i="6"/>
  <c r="J162"/>
  <c r="J162" i="12"/>
  <c r="J163"/>
  <c r="J47" i="30"/>
  <c r="M163" i="27"/>
  <c r="M160"/>
  <c r="M153"/>
  <c r="J161"/>
  <c r="M162"/>
  <c r="M151" i="32"/>
  <c r="M45" s="1"/>
  <c r="M152" i="20"/>
  <c r="M161"/>
  <c r="J151"/>
  <c r="M155"/>
  <c r="J151" i="11"/>
  <c r="M152"/>
  <c r="M161"/>
  <c r="M155"/>
  <c r="N169" i="29" l="1"/>
  <c r="J170"/>
  <c r="J172" i="33"/>
  <c r="N170"/>
  <c r="M177"/>
  <c r="M178" i="29"/>
  <c r="J46" i="33"/>
  <c r="M151"/>
  <c r="N178" i="27"/>
  <c r="J156"/>
  <c r="J161" i="11"/>
  <c r="M162"/>
  <c r="J155" i="20"/>
  <c r="M157"/>
  <c r="J157" s="1"/>
  <c r="M160" i="28"/>
  <c r="M163"/>
  <c r="M153"/>
  <c r="N169" i="20"/>
  <c r="J170"/>
  <c r="M163" i="11"/>
  <c r="M160"/>
  <c r="M153"/>
  <c r="J161" i="20"/>
  <c r="M162"/>
  <c r="M152" i="32"/>
  <c r="M161"/>
  <c r="J151"/>
  <c r="M155"/>
  <c r="J162" i="27"/>
  <c r="J163"/>
  <c r="M162" i="28"/>
  <c r="J161"/>
  <c r="N172" i="30"/>
  <c r="J50"/>
  <c r="J170" i="11"/>
  <c r="N169"/>
  <c r="J155"/>
  <c r="M157"/>
  <c r="J157" s="1"/>
  <c r="J153"/>
  <c r="J152"/>
  <c r="J152" i="20"/>
  <c r="J153"/>
  <c r="M163"/>
  <c r="M153"/>
  <c r="M160"/>
  <c r="M151" i="30"/>
  <c r="M45" s="1"/>
  <c r="N177" i="12"/>
  <c r="J153" i="28"/>
  <c r="J152"/>
  <c r="J155"/>
  <c r="M157"/>
  <c r="J157" s="1"/>
  <c r="J151" i="29"/>
  <c r="M161"/>
  <c r="M152"/>
  <c r="M45" s="1"/>
  <c r="M155"/>
  <c r="M178" i="11"/>
  <c r="M178" i="20"/>
  <c r="N170" i="32"/>
  <c r="J172"/>
  <c r="M177"/>
  <c r="N178" i="6"/>
  <c r="N169" i="33" l="1"/>
  <c r="N177" s="1"/>
  <c r="N178" s="1"/>
  <c r="J170"/>
  <c r="M45"/>
  <c r="M161"/>
  <c r="M155"/>
  <c r="M152"/>
  <c r="J151"/>
  <c r="J177"/>
  <c r="J178" s="1"/>
  <c r="M178"/>
  <c r="N177" i="29"/>
  <c r="J177" s="1"/>
  <c r="J178" s="1"/>
  <c r="N178"/>
  <c r="J177" i="12"/>
  <c r="J178" s="1"/>
  <c r="J156" i="20"/>
  <c r="J155" i="29"/>
  <c r="M157"/>
  <c r="J157" s="1"/>
  <c r="J153"/>
  <c r="J152"/>
  <c r="M178" i="32"/>
  <c r="N169"/>
  <c r="J170"/>
  <c r="M160" i="29"/>
  <c r="M153"/>
  <c r="M163"/>
  <c r="J161"/>
  <c r="M162"/>
  <c r="N177" i="11"/>
  <c r="J177" s="1"/>
  <c r="J178" s="1"/>
  <c r="J153" i="32"/>
  <c r="J152"/>
  <c r="M162"/>
  <c r="J161"/>
  <c r="N177" i="20"/>
  <c r="J177" s="1"/>
  <c r="J178" s="1"/>
  <c r="J162" i="11"/>
  <c r="J163"/>
  <c r="J156" i="28"/>
  <c r="N178" i="12"/>
  <c r="J156" i="11"/>
  <c r="M155" i="30"/>
  <c r="M152"/>
  <c r="M161"/>
  <c r="J151"/>
  <c r="J172"/>
  <c r="N170"/>
  <c r="M177"/>
  <c r="J163" i="28"/>
  <c r="J162"/>
  <c r="M157" i="32"/>
  <c r="J157" s="1"/>
  <c r="J155"/>
  <c r="M153"/>
  <c r="M163"/>
  <c r="M160"/>
  <c r="J163" i="20"/>
  <c r="J162"/>
  <c r="M162" i="33" l="1"/>
  <c r="J161"/>
  <c r="J152"/>
  <c r="J153"/>
  <c r="M157"/>
  <c r="J157" s="1"/>
  <c r="J156" s="1"/>
  <c r="J155"/>
  <c r="M160"/>
  <c r="M163"/>
  <c r="M153"/>
  <c r="J156" i="29"/>
  <c r="N178" i="11"/>
  <c r="J156" i="32"/>
  <c r="N178" i="20"/>
  <c r="N169" i="30"/>
  <c r="J170"/>
  <c r="J153"/>
  <c r="J152"/>
  <c r="M160"/>
  <c r="M153"/>
  <c r="M163"/>
  <c r="N177" i="32"/>
  <c r="J177" s="1"/>
  <c r="J178" s="1"/>
  <c r="M178" i="30"/>
  <c r="J161"/>
  <c r="M162"/>
  <c r="J155"/>
  <c r="M157"/>
  <c r="J157" s="1"/>
  <c r="J162" i="32"/>
  <c r="J163"/>
  <c r="J163" i="29"/>
  <c r="J162"/>
  <c r="J162" i="33" l="1"/>
  <c r="J163"/>
  <c r="J156" i="30"/>
  <c r="N177"/>
  <c r="J177" s="1"/>
  <c r="J178" s="1"/>
  <c r="J163"/>
  <c r="J162"/>
  <c r="N178" i="32"/>
  <c r="N178" i="30" l="1"/>
</calcChain>
</file>

<file path=xl/sharedStrings.xml><?xml version="1.0" encoding="utf-8"?>
<sst xmlns="http://schemas.openxmlformats.org/spreadsheetml/2006/main" count="7501" uniqueCount="257">
  <si>
    <t>№</t>
  </si>
  <si>
    <t>Показатель</t>
  </si>
  <si>
    <t>План (тыс.кВт.ч)</t>
  </si>
  <si>
    <t>Факт (тыс.кВт.ч)</t>
  </si>
  <si>
    <t>Всего</t>
  </si>
  <si>
    <t>ВН</t>
  </si>
  <si>
    <t>СН1</t>
  </si>
  <si>
    <t>СН11</t>
  </si>
  <si>
    <t>НН</t>
  </si>
  <si>
    <t>Перетоки по границе балансовой принадлежности</t>
  </si>
  <si>
    <t>1.</t>
  </si>
  <si>
    <t>Прием в сеть РСК, в т.ч.</t>
  </si>
  <si>
    <t>1.1.</t>
  </si>
  <si>
    <t>из сетей ФСК</t>
  </si>
  <si>
    <t>1.2.</t>
  </si>
  <si>
    <t>из сетей МСК</t>
  </si>
  <si>
    <t>1.3.</t>
  </si>
  <si>
    <t>из сетей смежных сетевых компаний (РСК, АО-энерго и т.п.)</t>
  </si>
  <si>
    <t>1.3.1.</t>
  </si>
  <si>
    <t>1.3.2.</t>
  </si>
  <si>
    <t>1.4.</t>
  </si>
  <si>
    <t>от сетей Генерирующих компаний (ОГК, АЭС, ТГК, собст.ген.РСК и т.п.)</t>
  </si>
  <si>
    <t>1.4.1.</t>
  </si>
  <si>
    <t>в том числе с генераторного напряжения (по дог.аренды ОРУ)</t>
  </si>
  <si>
    <t>1.5.</t>
  </si>
  <si>
    <t>от блок-станций</t>
  </si>
  <si>
    <t>2.</t>
  </si>
  <si>
    <t>Отдача из сетей РСК, в т.ч.</t>
  </si>
  <si>
    <t>2.1.</t>
  </si>
  <si>
    <t>в сети ФСК</t>
  </si>
  <si>
    <t>2.2.</t>
  </si>
  <si>
    <t>в сети МСК</t>
  </si>
  <si>
    <t>2.3.</t>
  </si>
  <si>
    <t>в сети смежных сетевых компаний (РСК, АО-энерго и т.п.)</t>
  </si>
  <si>
    <t>2.3.1.</t>
  </si>
  <si>
    <t>2.3.2.</t>
  </si>
  <si>
    <t>2.4.</t>
  </si>
  <si>
    <t>в сети Генерирующих компаний (ОГК, АЭС, ТГК, собст.ген.РСК и т.п.)</t>
  </si>
  <si>
    <t>3.</t>
  </si>
  <si>
    <t>Отпуск в сеть РСК (1.- 2.), в т.ч.</t>
  </si>
  <si>
    <t>3.1.</t>
  </si>
  <si>
    <t>от ФСК</t>
  </si>
  <si>
    <t>3.2.</t>
  </si>
  <si>
    <t>от МСК</t>
  </si>
  <si>
    <t>3.3.</t>
  </si>
  <si>
    <t>от смежных сетевых компаний</t>
  </si>
  <si>
    <t>3.3.1.</t>
  </si>
  <si>
    <t>3.3.2.</t>
  </si>
  <si>
    <t>3.4.</t>
  </si>
  <si>
    <t>от Генерирующих компаний (ОГК, АЭС, ТГК, собст.ген.РСК и т.п.)</t>
  </si>
  <si>
    <t>3.5.</t>
  </si>
  <si>
    <t>Внутрисетевой переток</t>
  </si>
  <si>
    <t>4.</t>
  </si>
  <si>
    <t>Прием ЭЭ из сети смежного напряжения</t>
  </si>
  <si>
    <t>4.1.</t>
  </si>
  <si>
    <t>из сетей ВН</t>
  </si>
  <si>
    <t>4.2.</t>
  </si>
  <si>
    <t>из сетей СН 1</t>
  </si>
  <si>
    <t>4.3.</t>
  </si>
  <si>
    <t>из сетей СН 11</t>
  </si>
  <si>
    <t>5.</t>
  </si>
  <si>
    <t>Отдача ЭЭ в сети смежного напряжения</t>
  </si>
  <si>
    <t>5.1.</t>
  </si>
  <si>
    <t>в сети ВН</t>
  </si>
  <si>
    <t>5.2.</t>
  </si>
  <si>
    <t>в сети СН 1</t>
  </si>
  <si>
    <t>5.3.</t>
  </si>
  <si>
    <t>в сети СН 11</t>
  </si>
  <si>
    <t>5.4.</t>
  </si>
  <si>
    <t>в сети НН</t>
  </si>
  <si>
    <t>6.</t>
  </si>
  <si>
    <t>Сальдо-переток э/энергии по уровню напряжения (4.- 5.)</t>
  </si>
  <si>
    <t>6.1.</t>
  </si>
  <si>
    <t>6.2.</t>
  </si>
  <si>
    <t>СН 1</t>
  </si>
  <si>
    <t>6.3.</t>
  </si>
  <si>
    <t>СН 11</t>
  </si>
  <si>
    <t>6.4.</t>
  </si>
  <si>
    <t>7.</t>
  </si>
  <si>
    <t>Отпуск электроэнергии в сеть (Столбцы ВН-НН=3.+ 4.; Всего=3)</t>
  </si>
  <si>
    <t>7.А.</t>
  </si>
  <si>
    <t>Отпуск ЭЭ в сеть по эконом.-му балансу (9.1.+ 8.А. + 5. -8.1.1*-8.1.3*)</t>
  </si>
  <si>
    <t>Полезный отпуск</t>
  </si>
  <si>
    <t>8.</t>
  </si>
  <si>
    <t>Полезный отпуск из сетей РСК, в том числе</t>
  </si>
  <si>
    <t>8.1.</t>
  </si>
  <si>
    <t>Потребителям "Энергосбытовой компании №1 (наименование)"</t>
  </si>
  <si>
    <t>8.1.1.</t>
  </si>
  <si>
    <t>С шин ПС (ТП), в том числе</t>
  </si>
  <si>
    <r>
      <t xml:space="preserve">первичный уровень напряжения ПС </t>
    </r>
    <r>
      <rPr>
        <b/>
        <i/>
        <sz val="9"/>
        <color indexed="12"/>
        <rFont val="Arial Cyr"/>
        <family val="2"/>
        <charset val="204"/>
      </rPr>
      <t>ВН</t>
    </r>
  </si>
  <si>
    <r>
      <t xml:space="preserve">первичный уровень напряжения ПС </t>
    </r>
    <r>
      <rPr>
        <b/>
        <i/>
        <sz val="9"/>
        <color indexed="12"/>
        <rFont val="Arial Cyr"/>
        <family val="2"/>
        <charset val="204"/>
      </rPr>
      <t>СН1</t>
    </r>
  </si>
  <si>
    <r>
      <t xml:space="preserve">первичный уровень напряжения ПС </t>
    </r>
    <r>
      <rPr>
        <b/>
        <i/>
        <sz val="9"/>
        <color indexed="12"/>
        <rFont val="Arial Cyr"/>
        <family val="2"/>
        <charset val="204"/>
      </rPr>
      <t>СН11</t>
    </r>
  </si>
  <si>
    <t>8.1.2.</t>
  </si>
  <si>
    <t>Нижестоящим сетевым организациям (МУПЭП, ЖКХ и пр.)</t>
  </si>
  <si>
    <t>8.1.3.</t>
  </si>
  <si>
    <t>По объектам "последней мили", в том числе с шин ПС</t>
  </si>
  <si>
    <t>8.1.4.</t>
  </si>
  <si>
    <t>Расход электроэнергии на хозяйственные нужды ОАО "РСК"</t>
  </si>
  <si>
    <t>8.1.5.</t>
  </si>
  <si>
    <t>С шин генераторного напряжения (по договору аренды ОРУ станций)</t>
  </si>
  <si>
    <t>8.А.</t>
  </si>
  <si>
    <t>Полезный отпуск из сетей РСК по применяемым тарифам</t>
  </si>
  <si>
    <t>8.А.1.</t>
  </si>
  <si>
    <t>в т.ч. Потребителям-гражданам</t>
  </si>
  <si>
    <t>8.А.2.</t>
  </si>
  <si>
    <t>в т.ч. Потребителям-юридическим лицам</t>
  </si>
  <si>
    <t>8.А.3.</t>
  </si>
  <si>
    <t>в т.ч. в сети нижестоящих сетевых орг.-й (МУПЭП, ЖКХ и пр.)</t>
  </si>
  <si>
    <t>8.Б.</t>
  </si>
  <si>
    <t>8.В.</t>
  </si>
  <si>
    <r>
      <t xml:space="preserve">Начислено за оказанную услугу по передаче ЭЭ (с НДС), </t>
    </r>
    <r>
      <rPr>
        <b/>
        <i/>
        <sz val="9"/>
        <rFont val="Arial CYR"/>
        <family val="2"/>
        <charset val="204"/>
      </rPr>
      <t>тыс.руб.</t>
    </r>
  </si>
  <si>
    <t>Потери ЭЭ</t>
  </si>
  <si>
    <t>9.1.</t>
  </si>
  <si>
    <t>Потери электроэнергии в сети (7.- 5. - 8.)</t>
  </si>
  <si>
    <t>9.2.</t>
  </si>
  <si>
    <t>Относительно отпуска ЭЭ в сеть (9.1./ 7.*100%)</t>
  </si>
  <si>
    <t>9.А.</t>
  </si>
  <si>
    <t>Относительно отпуска ЭЭ в сеть по экономич. (9.1./ 7.А.*100%)</t>
  </si>
  <si>
    <t>10.1.</t>
  </si>
  <si>
    <t>Нагрузочные потери ЭЭ, оплаченные в ССТ (справочно)</t>
  </si>
  <si>
    <t>11.1.</t>
  </si>
  <si>
    <t>Потери электроэнергии, подлежащие оплате ЭСК</t>
  </si>
  <si>
    <t>11.2.</t>
  </si>
  <si>
    <r>
      <t xml:space="preserve">Тариф на покупку потерь электроэнергии, </t>
    </r>
    <r>
      <rPr>
        <b/>
        <i/>
        <sz val="9"/>
        <rFont val="Arial CYR"/>
        <family val="2"/>
        <charset val="204"/>
      </rPr>
      <t>руб/кВт.ч.</t>
    </r>
    <r>
      <rPr>
        <i/>
        <sz val="9"/>
        <rFont val="Arial Cyr"/>
        <family val="2"/>
        <charset val="204"/>
      </rPr>
      <t xml:space="preserve"> (без НДС)</t>
    </r>
  </si>
  <si>
    <t>11.3.</t>
  </si>
  <si>
    <r>
      <t xml:space="preserve">Затраты на покупку потерь эл/энергии (с НДС), </t>
    </r>
    <r>
      <rPr>
        <b/>
        <i/>
        <sz val="9"/>
        <rFont val="Arial CYR"/>
        <family val="2"/>
        <charset val="204"/>
      </rPr>
      <t>тыс.руб.</t>
    </r>
  </si>
  <si>
    <t>12.1.</t>
  </si>
  <si>
    <t>Нормативные потери электроэнергии (12.3*7.А/100%)</t>
  </si>
  <si>
    <t>12.2.</t>
  </si>
  <si>
    <t>Относительно отпуска ЭЭ в сеть (12.1./ 7.*100%)</t>
  </si>
  <si>
    <t>12.3.</t>
  </si>
  <si>
    <t>Относительно отпуска ЭЭ в сеть по экономич.</t>
  </si>
  <si>
    <t>13.1</t>
  </si>
  <si>
    <t>Сверхнормативные потери ЭЭ (9.1.-12.1.)</t>
  </si>
  <si>
    <t>13.2</t>
  </si>
  <si>
    <t>Относительно отпуска ЭЭ в сеть (13.1./ 7.*100%)</t>
  </si>
  <si>
    <t>13.3</t>
  </si>
  <si>
    <t>Относительно отпуска ЭЭ в сеть по экономич. (13.1./ 7.А.*100%)</t>
  </si>
  <si>
    <t>п.п.</t>
  </si>
  <si>
    <t>Показатели</t>
  </si>
  <si>
    <t>Период регулирования</t>
  </si>
  <si>
    <t>всего</t>
  </si>
  <si>
    <t xml:space="preserve">Поступление эл.энергии в сеть , ВСЕГО </t>
  </si>
  <si>
    <t>из смежной сети, всего</t>
  </si>
  <si>
    <t>1.1.1.</t>
  </si>
  <si>
    <t>в том числе из сети   ВН</t>
  </si>
  <si>
    <t>1.1.2.</t>
  </si>
  <si>
    <t>1.1.3.</t>
  </si>
  <si>
    <t>от электростанций ПЭ (ЭСО)</t>
  </si>
  <si>
    <t>от других поставщиков (в т.ч. с оптового рынка)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</si>
  <si>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</si>
  <si>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</si>
  <si>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(п.1.1/п.1.3)</t>
  </si>
  <si>
    <t>Расход электроэнергии на производственные и(или) хозяйственные нужды</t>
  </si>
  <si>
    <t xml:space="preserve">Полезный отпуск из сети </t>
  </si>
  <si>
    <t>в т.ч. собственным потребителям ЭСО</t>
  </si>
  <si>
    <t>4.1.1.</t>
  </si>
  <si>
    <t>из них: потребителям, присоединенным к центру питания</t>
  </si>
  <si>
    <t>4.1.2.</t>
  </si>
  <si>
    <t>на генераторном напряжении</t>
  </si>
  <si>
    <t>потребителям оптового рынка</t>
  </si>
  <si>
    <t>сальдо переток в другие организации</t>
  </si>
  <si>
    <t>в том числе ОАО "Волгоградэнерго"</t>
  </si>
  <si>
    <t>в том числе ОАО "Калмэнерго"</t>
  </si>
  <si>
    <t>в том числе РСК 1</t>
  </si>
  <si>
    <t>в том числе АО-энерго</t>
  </si>
  <si>
    <r>
      <t xml:space="preserve">Начислено за оказанную услугу по передаче ЭЭ (с НДС), </t>
    </r>
    <r>
      <rPr>
        <b/>
        <i/>
        <sz val="9"/>
        <rFont val="Arial CYR"/>
        <family val="2"/>
        <charset val="204"/>
      </rPr>
      <t>тыс.руб.</t>
    </r>
  </si>
  <si>
    <r>
      <t xml:space="preserve">Тариф на покупку потерь электроэнергии, </t>
    </r>
    <r>
      <rPr>
        <b/>
        <i/>
        <sz val="9"/>
        <rFont val="Arial CYR"/>
        <family val="2"/>
        <charset val="204"/>
      </rPr>
      <t>руб/кВт.ч.</t>
    </r>
    <r>
      <rPr>
        <i/>
        <sz val="9"/>
        <rFont val="Arial Cyr"/>
        <family val="2"/>
        <charset val="204"/>
      </rPr>
      <t xml:space="preserve"> (без НДС)</t>
    </r>
  </si>
  <si>
    <r>
      <t xml:space="preserve">Затраты на покупку потерь эл/энергии (с НДС), </t>
    </r>
    <r>
      <rPr>
        <b/>
        <i/>
        <sz val="9"/>
        <rFont val="Arial CYR"/>
        <family val="2"/>
        <charset val="204"/>
      </rPr>
      <t>тыс.руб.</t>
    </r>
  </si>
  <si>
    <r>
      <t xml:space="preserve">Тариф на передачу электроэнергии, </t>
    </r>
    <r>
      <rPr>
        <b/>
        <i/>
        <sz val="9"/>
        <rFont val="Arial CYR"/>
        <family val="2"/>
        <charset val="204"/>
      </rPr>
      <t xml:space="preserve">руб./кВт.ч. </t>
    </r>
    <r>
      <rPr>
        <i/>
        <sz val="9"/>
        <rFont val="Arial Cyr"/>
        <charset val="204"/>
      </rPr>
      <t>(без НДС)</t>
    </r>
  </si>
  <si>
    <r>
      <t xml:space="preserve">Тариф на покупку потерь электроэнергии, </t>
    </r>
    <r>
      <rPr>
        <b/>
        <i/>
        <sz val="9"/>
        <rFont val="Arial CYR"/>
        <family val="2"/>
        <charset val="204"/>
      </rPr>
      <t>руб/кВт.ч.</t>
    </r>
    <r>
      <rPr>
        <i/>
        <sz val="9"/>
        <rFont val="Arial Cyr"/>
        <charset val="204"/>
      </rPr>
      <t xml:space="preserve"> (без НДС)</t>
    </r>
  </si>
  <si>
    <t>8.2.</t>
  </si>
  <si>
    <t>8.2.1.</t>
  </si>
  <si>
    <t>8.2.2.</t>
  </si>
  <si>
    <t>8.2.3.</t>
  </si>
  <si>
    <t>8.2.5.</t>
  </si>
  <si>
    <t>8.2.4.</t>
  </si>
  <si>
    <t>8.3.</t>
  </si>
  <si>
    <t>8.3.1.</t>
  </si>
  <si>
    <t>8.3.2.</t>
  </si>
  <si>
    <t>8.3.3.</t>
  </si>
  <si>
    <t>8.3.4.</t>
  </si>
  <si>
    <t>8.3.5.</t>
  </si>
  <si>
    <t>8.4.</t>
  </si>
  <si>
    <t>8.4.1.</t>
  </si>
  <si>
    <t>8.4.2.</t>
  </si>
  <si>
    <t>8.4.3.</t>
  </si>
  <si>
    <t>8.4.4.</t>
  </si>
  <si>
    <t>8.4.5.</t>
  </si>
  <si>
    <t>Потребителям "Энергосбытовой компании №4 (ОАО Межрегионэнергосбыт)"</t>
  </si>
  <si>
    <t>Потребителям "Энергосбытовой компании №2 (ООО Русьэнергосбыт)"</t>
  </si>
  <si>
    <t>в том числе "Калмэнерго"</t>
  </si>
  <si>
    <t>в том числе "Волгоградэнерго"</t>
  </si>
  <si>
    <t>Потери сетевых</t>
  </si>
  <si>
    <t>Заместитель начальника управления - начальник ОМАП                                                                                        В.В.Хохлов</t>
  </si>
  <si>
    <t>Исп.: ведущий инженер ОМАП Скворцова А.И. (8512)-79-31-58</t>
  </si>
  <si>
    <t>Стоимость нагрузочных потерь, тыс.руб</t>
  </si>
  <si>
    <t>8.5.</t>
  </si>
  <si>
    <t>8.5.1.</t>
  </si>
  <si>
    <t>8.5.2.</t>
  </si>
  <si>
    <t>8.5.3.</t>
  </si>
  <si>
    <t>8.5.4.</t>
  </si>
  <si>
    <t>8.5.5.</t>
  </si>
  <si>
    <t>Потребителям "Энергосбытовой компании №3 (ОАО Оборонэнергосбыт)"</t>
  </si>
  <si>
    <t>Потребителям "Энергосбытовой компании №5 (ООО ГарантЭнерго)"</t>
  </si>
  <si>
    <t>8.Б.1</t>
  </si>
  <si>
    <t>в т.ч. Приравненных к потребителям-граждан</t>
  </si>
  <si>
    <t>8.А.4.</t>
  </si>
  <si>
    <t>Тариф на передачу электроэнергии, руб./кВт.ч. (без НДС)</t>
  </si>
  <si>
    <t>Нагрузочные потери ЭЭ, оплаченные в ССТ (тыс. руб) с НДС</t>
  </si>
  <si>
    <t>Исп.: ведущий инженер ОПБиНП Скворцова А.И. (8512)-79-31-58</t>
  </si>
  <si>
    <t>Начальник управления транспорта электроэнергии                                                                       С.А. Зинченко</t>
  </si>
  <si>
    <t>Развернутый баланс электрической энергии по сетям ВН, СН1, СН11 и НН филиала ОАО «МРСК Юга»-«Астраханьэнерго»   за январь 2013 года.</t>
  </si>
  <si>
    <t>Развернутый баланс электрической энергии по сетям ВН, СН1, СН11 и НН филиала ОАО «МРСК Юга»-«Астраханьэнерго»   за февраль 2013 года.</t>
  </si>
  <si>
    <t>Развернутый баланс электрической энергии по сетям ВН, СН1, СН11 и НН филиала ОАО «МРСК Юга»-«Астраханьэнерго»  за март 2013 года.</t>
  </si>
  <si>
    <t>Развернутый баланс электрической энергии по сетям ВН, СН1, СН11 и НН филиала ОАО «МРСК Юга»-«Астраханьэнерго»   за 2 месяца 2013 года.</t>
  </si>
  <si>
    <t>Развернутый баланс электрической энергии по сетям ВН, СН1, СН11 и НН филиала ОАО «МРСК Юга»-«Астраханьэнерго»  за 1 квартал 2013 года.</t>
  </si>
  <si>
    <t>Развернутый баланс электрической энергии по сетям ВН, СН1, СН11 и НН филиала ОАО «МРСК Юга»-«Астраханьэнерго»  за апрель 2013 года.</t>
  </si>
  <si>
    <t>Развернутый баланс электрической энергии по сетям ВН, СН1, СН11 и НН филиала ОАО «МРСК Юга»-«Астраханьэнерго»  за 4 месяца 2013 года.</t>
  </si>
  <si>
    <t>Развернутый баланс электрической энергии по сетям ВН, СН1, СН11 и НН филиала ОАО «МРСК Юга»-«Астраханьэнерго»  за май 2013 года.</t>
  </si>
  <si>
    <t>Развернутый баланс электрической энергии по сетям ВН, СН1, СН11 и НН филиала ОАО «МРСК Юга»-«Астраханьэнерго»  за 5 месяцев 2013 года.</t>
  </si>
  <si>
    <t>Развернутый баланс электрической энергии по сетям ВН, СН1, СН11 и НН филиала ОАО «МРСК Юга»-«Астраханьэнерго»  за июнь 2013 года.</t>
  </si>
  <si>
    <t>Развернутый баланс электрической энергии по сетям ВН, СН1, СН11 и НН филиала ОАО «МРСК Юга»-«Астраханьэнерго»  за 2 квартал 2013 года.</t>
  </si>
  <si>
    <t>Развернутый баланс электрической энергии по сетям ВН, СН1, СН11 и НН филиала ОАО «МРСК Юга»-«Астраханьэнерго»  за 1 полугодие 2013 года.</t>
  </si>
  <si>
    <t>Развернутый баланс электрической энергии по сетям ВН, СН1, СН11 и НН филиала ОАО «МРСК Юга»-«Астраханьэнерго»  за июль 2013 года.</t>
  </si>
  <si>
    <t>Развернутый баланс электрической энергии по сетям ВН, СН1, СН11 и НН филиала ОАО «МРСК Юга»-«Астраханьэнерго»  за август 2013 года.</t>
  </si>
  <si>
    <t>Развернутый баланс электрической энергии по сетям ВН, СН1, СН11 и НН филиала ОАО «МРСК Юга»-«Астраханьэнерго»  за 7 месяцев 2013 года.</t>
  </si>
  <si>
    <t>Развернутый баланс электрической энергии по сетям ВН, СН1, СН11 и НН филиала ОАО «МРСК Юга»-«Астраханьэнерго»  за сентябрь 2013года.</t>
  </si>
  <si>
    <t>Развернутый баланс электрической энергии по сетям ВН, СН1, СН11 и НН филиала ОАО «МРСК Юга»-«Астраханьэнерго»  за 3 квартал 2013 года.</t>
  </si>
  <si>
    <t>Развернутый баланс электрической энергии по сетям ВН, СН1, СН11 и НН филиала ОАО «МРСК Юга»-«Астраханьэнерго»   за 9 месяцев 2013 года.</t>
  </si>
  <si>
    <t>Развернутый баланс электрической энергии по сетям ВН, СН1, СН11 и НН филиала ОАО «МРСК Юга»-«Астраханьэнерго»  за 8 месяцев 2013 года.</t>
  </si>
  <si>
    <t>Развернутый баланс электрической энергии по сетям ВН, СН1, СН11 и НН филиала ОАО «МРСК Юга»-«Астраханьэнерго»   за 10 месяцев 2013 года.</t>
  </si>
  <si>
    <t>Развернутый баланс электрической энергии по сетям ВН, СН1, СН11 и НН филиала ОАО «МРСК Юга»-«Астраханьэнерго»   за 11 месяцев 2013 года.</t>
  </si>
  <si>
    <t>Развернутый баланс электрической энергии по сетям ВН, СН1, СН11 и НН филиала ОАО «МРСК Юга»-«Астраханьэнерго»  за 2 полугодие 2013 года.</t>
  </si>
  <si>
    <t>8.6.</t>
  </si>
  <si>
    <t>ООО "ДОРАДО"</t>
  </si>
  <si>
    <t>8.6.1.</t>
  </si>
  <si>
    <t>8.6.2.</t>
  </si>
  <si>
    <t>8.6.3.</t>
  </si>
  <si>
    <t>8.6.4.</t>
  </si>
  <si>
    <t>8.6.5.</t>
  </si>
  <si>
    <t>Начальник управления транспорта электроэнергии                                                                    С.А. Зинченко</t>
  </si>
  <si>
    <t>8.7.</t>
  </si>
  <si>
    <t>8.7.1.</t>
  </si>
  <si>
    <t>8.7.2.</t>
  </si>
  <si>
    <t>8.7.3.</t>
  </si>
  <si>
    <t>8.7.4.</t>
  </si>
  <si>
    <t>8.7.5.</t>
  </si>
  <si>
    <t>ОАО "МОСГОРЭНЕРГО"</t>
  </si>
  <si>
    <t>ОАО "МагнитЭнерго"</t>
  </si>
  <si>
    <t>8.8.</t>
  </si>
  <si>
    <t>8.8.1.</t>
  </si>
  <si>
    <t>8.8.2.</t>
  </si>
  <si>
    <t>8.8.3.</t>
  </si>
  <si>
    <t>8.8.4.</t>
  </si>
  <si>
    <t>8.8.5.</t>
  </si>
  <si>
    <t>Развернутый баланс электрической энергии по сетям ВН, СН1, СН11 и НН филиала ОАО «МРСК Юга»-«Астраханьэнерго»   2014 года.</t>
  </si>
</sst>
</file>

<file path=xl/styles.xml><?xml version="1.0" encoding="utf-8"?>
<styleSheet xmlns="http://schemas.openxmlformats.org/spreadsheetml/2006/main">
  <numFmts count="2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0"/>
    <numFmt numFmtId="167" formatCode="0.000%"/>
    <numFmt numFmtId="168" formatCode="0.000"/>
    <numFmt numFmtId="169" formatCode="0.0000"/>
    <numFmt numFmtId="170" formatCode="0.00000"/>
    <numFmt numFmtId="171" formatCode="&quot;$&quot;#,##0_);[Red]\(&quot;$&quot;#,##0\)"/>
    <numFmt numFmtId="172" formatCode="General_)"/>
    <numFmt numFmtId="173" formatCode="0.0"/>
    <numFmt numFmtId="174" formatCode="_-* #,##0_$_-;\-* #,##0_$_-;_-* &quot;-&quot;_$_-;_-@_-"/>
    <numFmt numFmtId="175" formatCode="_-* #,##0.00&quot;$&quot;_-;\-* #,##0.00&quot;$&quot;_-;_-* &quot;-&quot;??&quot;$&quot;_-;_-@_-"/>
    <numFmt numFmtId="176" formatCode="_-* #,##0.00_$_-;\-* #,##0.00_$_-;_-* &quot;-&quot;??_$_-;_-@_-"/>
    <numFmt numFmtId="177" formatCode="_-* #,##0\ _р_._-;\-* #,##0\ _р_._-;_-* &quot;-&quot;\ _р_._-;_-@_-"/>
    <numFmt numFmtId="178" formatCode="_-* #,##0.00\ _р_._-;\-* #,##0.00\ _р_._-;_-* &quot;-&quot;??\ _р_._-;_-@_-"/>
    <numFmt numFmtId="179" formatCode="#,##0.000000"/>
    <numFmt numFmtId="180" formatCode="#,##0.0000"/>
    <numFmt numFmtId="181" formatCode="_([$€]* #,##0.00_);_([$€]* \(#,##0.00\);_([$€]* &quot;-&quot;??_);_(@_)"/>
    <numFmt numFmtId="182" formatCode="_-* #,##0_р_._-;\-* #,##0_р_._-;_-* &quot;-&quot;??_р_._-;_-@_-"/>
    <numFmt numFmtId="183" formatCode="_(* #,##0_);_(* \(#,##0\);_(* &quot;-&quot;_);_(@_)"/>
    <numFmt numFmtId="184" formatCode="_(* #,##0.00_);_(* \(#,##0.00\);_(* &quot;-&quot;??_);_(@_)"/>
    <numFmt numFmtId="185" formatCode="_-* #,##0.00_р_._-;\-* #,##0.00_р_._-;_-* \-??_р_._-;_-@_-"/>
    <numFmt numFmtId="186" formatCode="#,##0.000000000"/>
    <numFmt numFmtId="187" formatCode="0.000000000"/>
  </numFmts>
  <fonts count="99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Arial"/>
      <family val="2"/>
      <charset val="204"/>
    </font>
    <font>
      <sz val="9"/>
      <name val="Bookman Old Style"/>
      <family val="1"/>
      <charset val="204"/>
    </font>
    <font>
      <b/>
      <i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9"/>
      <color indexed="12"/>
      <name val="Arial Cyr"/>
      <family val="2"/>
      <charset val="204"/>
    </font>
    <font>
      <sz val="9"/>
      <color indexed="10"/>
      <name val="Arial Cyr"/>
      <family val="2"/>
      <charset val="204"/>
    </font>
    <font>
      <i/>
      <sz val="9"/>
      <color indexed="12"/>
      <name val="Arial Cyr"/>
      <family val="2"/>
      <charset val="204"/>
    </font>
    <font>
      <b/>
      <i/>
      <sz val="9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 Cyr"/>
    </font>
    <font>
      <i/>
      <sz val="9"/>
      <name val="Arial Cyr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Bookman Old Style"/>
      <family val="1"/>
    </font>
    <font>
      <b/>
      <i/>
      <sz val="9"/>
      <name val="Arial CYR"/>
      <charset val="204"/>
    </font>
    <font>
      <i/>
      <sz val="9"/>
      <color indexed="12"/>
      <name val="Arial Cyr"/>
      <charset val="204"/>
    </font>
    <font>
      <sz val="10"/>
      <name val="Arial Cyr"/>
      <family val="2"/>
      <charset val="204"/>
    </font>
    <font>
      <b/>
      <sz val="9"/>
      <color indexed="8"/>
      <name val="Arial Cyr"/>
      <charset val="204"/>
    </font>
    <font>
      <sz val="9"/>
      <color indexed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i/>
      <sz val="10"/>
      <name val="Arial Cyr"/>
      <charset val="204"/>
    </font>
    <font>
      <b/>
      <i/>
      <sz val="9"/>
      <color indexed="8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Optima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name val="Times New Roman Cyr"/>
      <family val="1"/>
      <charset val="204"/>
    </font>
    <font>
      <sz val="9"/>
      <color rgb="FFFF0000"/>
      <name val="Arial Cyr"/>
      <charset val="204"/>
    </font>
    <font>
      <b/>
      <sz val="9"/>
      <color rgb="FFFF0000"/>
      <name val="Arial Cyr"/>
      <charset val="204"/>
    </font>
    <font>
      <i/>
      <sz val="9"/>
      <color rgb="FF0070C0"/>
      <name val="Arial Cyr"/>
      <charset val="204"/>
    </font>
    <font>
      <b/>
      <sz val="9"/>
      <color theme="1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Arial Cyr"/>
    </font>
    <font>
      <sz val="14"/>
      <color theme="1"/>
      <name val="Times New Roman"/>
      <family val="2"/>
      <charset val="204"/>
    </font>
    <font>
      <sz val="14"/>
      <color indexed="8"/>
      <name val="Times New Roman"/>
      <family val="2"/>
      <charset val="204"/>
    </font>
    <font>
      <b/>
      <sz val="9"/>
      <name val="Times New Roman"/>
      <family val="1"/>
      <charset val="204"/>
    </font>
    <font>
      <b/>
      <i/>
      <sz val="9"/>
      <color indexed="12"/>
      <name val="Arial Cyr"/>
      <charset val="204"/>
    </font>
    <font>
      <i/>
      <sz val="9"/>
      <color rgb="FF0078D2"/>
      <name val="Arial Cyr"/>
      <charset val="204"/>
    </font>
    <font>
      <i/>
      <sz val="9"/>
      <color theme="8" tint="0.79998168889431442"/>
      <name val="Arial Cyr"/>
      <family val="2"/>
      <charset val="204"/>
    </font>
    <font>
      <sz val="9"/>
      <color theme="1"/>
      <name val="Arial Cyr"/>
      <family val="2"/>
      <charset val="204"/>
    </font>
    <font>
      <i/>
      <sz val="9"/>
      <color theme="0"/>
      <name val="Arial Cyr"/>
      <family val="2"/>
      <charset val="204"/>
    </font>
    <font>
      <sz val="9"/>
      <color theme="0"/>
      <name val="Arial Cyr"/>
      <family val="2"/>
      <charset val="204"/>
    </font>
    <font>
      <b/>
      <i/>
      <sz val="9"/>
      <color theme="0"/>
      <name val="Arial Cyr"/>
      <charset val="204"/>
    </font>
    <font>
      <sz val="9"/>
      <color theme="0"/>
      <name val="Arial Cyr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23"/>
        <b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41"/>
        <bgColor indexed="3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42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34"/>
      </patternFill>
    </fill>
  </fills>
  <borders count="16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26">
    <xf numFmtId="0" fontId="0" fillId="0" borderId="0"/>
    <xf numFmtId="0" fontId="34" fillId="0" borderId="0"/>
    <xf numFmtId="171" fontId="35" fillId="0" borderId="0" applyFont="0" applyFill="0" applyBorder="0" applyAlignment="0" applyProtection="0"/>
    <xf numFmtId="0" fontId="36" fillId="0" borderId="0"/>
    <xf numFmtId="0" fontId="37" fillId="0" borderId="0" applyNumberFormat="0">
      <alignment horizontal="left"/>
    </xf>
    <xf numFmtId="172" fontId="31" fillId="0" borderId="1">
      <protection locked="0"/>
    </xf>
    <xf numFmtId="0" fontId="38" fillId="0" borderId="0" applyBorder="0">
      <alignment horizontal="center" vertical="center" wrapText="1"/>
    </xf>
    <xf numFmtId="0" fontId="39" fillId="0" borderId="2" applyBorder="0">
      <alignment horizontal="center" vertical="center" wrapText="1"/>
    </xf>
    <xf numFmtId="172" fontId="40" fillId="2" borderId="1"/>
    <xf numFmtId="4" fontId="41" fillId="3" borderId="3" applyBorder="0">
      <alignment horizontal="right"/>
    </xf>
    <xf numFmtId="0" fontId="42" fillId="4" borderId="0" applyFill="0">
      <alignment wrapText="1"/>
    </xf>
    <xf numFmtId="0" fontId="43" fillId="0" borderId="0">
      <alignment horizontal="center" vertical="top" wrapText="1"/>
    </xf>
    <xf numFmtId="0" fontId="44" fillId="0" borderId="0">
      <alignment horizontal="center" vertical="center" wrapText="1"/>
    </xf>
    <xf numFmtId="0" fontId="2" fillId="0" borderId="0"/>
    <xf numFmtId="0" fontId="25" fillId="0" borderId="0"/>
    <xf numFmtId="0" fontId="24" fillId="0" borderId="0"/>
    <xf numFmtId="9" fontId="31" fillId="0" borderId="0" applyFill="0" applyBorder="0" applyAlignment="0" applyProtection="0"/>
    <xf numFmtId="9" fontId="24" fillId="0" borderId="0" applyFont="0" applyFill="0" applyBorder="0" applyAlignment="0" applyProtection="0"/>
    <xf numFmtId="49" fontId="45" fillId="0" borderId="0">
      <alignment horizontal="center"/>
    </xf>
    <xf numFmtId="4" fontId="41" fillId="4" borderId="0" applyFont="0" applyBorder="0">
      <alignment horizontal="right"/>
    </xf>
    <xf numFmtId="4" fontId="41" fillId="4" borderId="4" applyBorder="0">
      <alignment horizontal="right"/>
    </xf>
    <xf numFmtId="4" fontId="41" fillId="5" borderId="5" applyBorder="0">
      <alignment horizontal="right"/>
    </xf>
    <xf numFmtId="0" fontId="31" fillId="0" borderId="0"/>
    <xf numFmtId="0" fontId="34" fillId="0" borderId="0"/>
    <xf numFmtId="0" fontId="70" fillId="0" borderId="0"/>
    <xf numFmtId="0" fontId="50" fillId="0" borderId="142">
      <protection locked="0"/>
    </xf>
    <xf numFmtId="44" fontId="50" fillId="0" borderId="0">
      <protection locked="0"/>
    </xf>
    <xf numFmtId="44" fontId="50" fillId="0" borderId="0">
      <protection locked="0"/>
    </xf>
    <xf numFmtId="44" fontId="50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17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54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41" borderId="0" applyNumberFormat="0" applyBorder="0" applyAlignment="0" applyProtection="0"/>
    <xf numFmtId="0" fontId="55" fillId="29" borderId="143" applyNumberFormat="0" applyAlignment="0" applyProtection="0"/>
    <xf numFmtId="0" fontId="56" fillId="42" borderId="144" applyNumberFormat="0" applyAlignment="0" applyProtection="0"/>
    <xf numFmtId="0" fontId="57" fillId="42" borderId="143" applyNumberFormat="0" applyAlignment="0" applyProtection="0"/>
    <xf numFmtId="0" fontId="58" fillId="0" borderId="145" applyNumberFormat="0" applyFill="0" applyAlignment="0" applyProtection="0"/>
    <xf numFmtId="0" fontId="59" fillId="0" borderId="146" applyNumberFormat="0" applyFill="0" applyAlignment="0" applyProtection="0"/>
    <xf numFmtId="0" fontId="60" fillId="0" borderId="147" applyNumberFormat="0" applyFill="0" applyAlignment="0" applyProtection="0"/>
    <xf numFmtId="0" fontId="60" fillId="0" borderId="0" applyNumberFormat="0" applyFill="0" applyBorder="0" applyAlignment="0" applyProtection="0"/>
    <xf numFmtId="4" fontId="41" fillId="3" borderId="130" applyBorder="0">
      <alignment horizontal="right"/>
    </xf>
    <xf numFmtId="0" fontId="61" fillId="0" borderId="148" applyNumberFormat="0" applyFill="0" applyAlignment="0" applyProtection="0"/>
    <xf numFmtId="0" fontId="62" fillId="43" borderId="149" applyNumberFormat="0" applyAlignment="0" applyProtection="0"/>
    <xf numFmtId="0" fontId="63" fillId="0" borderId="0" applyNumberFormat="0" applyFill="0" applyBorder="0" applyAlignment="0" applyProtection="0"/>
    <xf numFmtId="0" fontId="64" fillId="44" borderId="0" applyNumberFormat="0" applyBorder="0" applyAlignment="0" applyProtection="0"/>
    <xf numFmtId="0" fontId="24" fillId="0" borderId="0"/>
    <xf numFmtId="0" fontId="65" fillId="25" borderId="0" applyNumberFormat="0" applyBorder="0" applyAlignment="0" applyProtection="0"/>
    <xf numFmtId="173" fontId="71" fillId="3" borderId="52" applyNumberFormat="0" applyBorder="0" applyAlignment="0">
      <alignment vertical="center"/>
      <protection locked="0"/>
    </xf>
    <xf numFmtId="0" fontId="66" fillId="0" borderId="0" applyNumberFormat="0" applyFill="0" applyBorder="0" applyAlignment="0" applyProtection="0"/>
    <xf numFmtId="0" fontId="19" fillId="45" borderId="150" applyNumberFormat="0" applyFont="0" applyAlignment="0" applyProtection="0"/>
    <xf numFmtId="9" fontId="24" fillId="0" borderId="0" applyFont="0" applyFill="0" applyBorder="0" applyAlignment="0" applyProtection="0"/>
    <xf numFmtId="0" fontId="67" fillId="0" borderId="151" applyNumberFormat="0" applyFill="0" applyAlignment="0" applyProtection="0"/>
    <xf numFmtId="0" fontId="68" fillId="0" borderId="0" applyNumberForma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69" fillId="26" borderId="0" applyNumberFormat="0" applyBorder="0" applyAlignment="0" applyProtection="0"/>
    <xf numFmtId="44" fontId="50" fillId="0" borderId="0">
      <protection locked="0"/>
    </xf>
    <xf numFmtId="0" fontId="34" fillId="0" borderId="0"/>
    <xf numFmtId="0" fontId="34" fillId="0" borderId="0"/>
    <xf numFmtId="0" fontId="70" fillId="0" borderId="0"/>
    <xf numFmtId="181" fontId="19" fillId="0" borderId="0" applyFont="0" applyFill="0" applyBorder="0" applyAlignment="0" applyProtection="0"/>
    <xf numFmtId="4" fontId="76" fillId="44" borderId="156" applyNumberFormat="0" applyProtection="0">
      <alignment vertical="center"/>
    </xf>
    <xf numFmtId="4" fontId="77" fillId="3" borderId="156" applyNumberFormat="0" applyProtection="0">
      <alignment vertical="center"/>
    </xf>
    <xf numFmtId="4" fontId="76" fillId="3" borderId="156" applyNumberFormat="0" applyProtection="0">
      <alignment horizontal="left" vertical="center" indent="1"/>
    </xf>
    <xf numFmtId="0" fontId="76" fillId="3" borderId="156" applyNumberFormat="0" applyProtection="0">
      <alignment horizontal="left" vertical="top" indent="1"/>
    </xf>
    <xf numFmtId="4" fontId="76" fillId="47" borderId="0" applyNumberFormat="0" applyProtection="0">
      <alignment horizontal="left" vertical="center" indent="1"/>
    </xf>
    <xf numFmtId="4" fontId="78" fillId="25" borderId="156" applyNumberFormat="0" applyProtection="0">
      <alignment horizontal="right" vertical="center"/>
    </xf>
    <xf numFmtId="4" fontId="78" fillId="31" borderId="156" applyNumberFormat="0" applyProtection="0">
      <alignment horizontal="right" vertical="center"/>
    </xf>
    <xf numFmtId="4" fontId="78" fillId="39" borderId="156" applyNumberFormat="0" applyProtection="0">
      <alignment horizontal="right" vertical="center"/>
    </xf>
    <xf numFmtId="4" fontId="78" fillId="33" borderId="156" applyNumberFormat="0" applyProtection="0">
      <alignment horizontal="right" vertical="center"/>
    </xf>
    <xf numFmtId="4" fontId="78" fillId="37" borderId="156" applyNumberFormat="0" applyProtection="0">
      <alignment horizontal="right" vertical="center"/>
    </xf>
    <xf numFmtId="4" fontId="78" fillId="41" borderId="156" applyNumberFormat="0" applyProtection="0">
      <alignment horizontal="right" vertical="center"/>
    </xf>
    <xf numFmtId="4" fontId="78" fillId="40" borderId="156" applyNumberFormat="0" applyProtection="0">
      <alignment horizontal="right" vertical="center"/>
    </xf>
    <xf numFmtId="4" fontId="78" fillId="48" borderId="156" applyNumberFormat="0" applyProtection="0">
      <alignment horizontal="right" vertical="center"/>
    </xf>
    <xf numFmtId="4" fontId="78" fillId="32" borderId="156" applyNumberFormat="0" applyProtection="0">
      <alignment horizontal="right" vertical="center"/>
    </xf>
    <xf numFmtId="4" fontId="76" fillId="49" borderId="157" applyNumberFormat="0" applyProtection="0">
      <alignment horizontal="left" vertical="center" indent="1"/>
    </xf>
    <xf numFmtId="4" fontId="78" fillId="50" borderId="0" applyNumberFormat="0" applyProtection="0">
      <alignment horizontal="left" vertical="center" indent="1"/>
    </xf>
    <xf numFmtId="4" fontId="79" fillId="51" borderId="0" applyNumberFormat="0" applyProtection="0">
      <alignment horizontal="left" vertical="center" indent="1"/>
    </xf>
    <xf numFmtId="4" fontId="78" fillId="52" borderId="156" applyNumberFormat="0" applyProtection="0">
      <alignment horizontal="right" vertical="center"/>
    </xf>
    <xf numFmtId="4" fontId="80" fillId="50" borderId="0" applyNumberFormat="0" applyProtection="0">
      <alignment horizontal="left" vertical="center" indent="1"/>
    </xf>
    <xf numFmtId="4" fontId="80" fillId="47" borderId="0" applyNumberFormat="0" applyProtection="0">
      <alignment horizontal="left" vertical="center" indent="1"/>
    </xf>
    <xf numFmtId="0" fontId="19" fillId="51" borderId="156" applyNumberFormat="0" applyProtection="0">
      <alignment horizontal="left" vertical="center" indent="1"/>
    </xf>
    <xf numFmtId="0" fontId="19" fillId="51" borderId="156" applyNumberFormat="0" applyProtection="0">
      <alignment horizontal="left" vertical="top" indent="1"/>
    </xf>
    <xf numFmtId="0" fontId="19" fillId="47" borderId="156" applyNumberFormat="0" applyProtection="0">
      <alignment horizontal="left" vertical="center" indent="1"/>
    </xf>
    <xf numFmtId="0" fontId="19" fillId="47" borderId="156" applyNumberFormat="0" applyProtection="0">
      <alignment horizontal="left" vertical="top" indent="1"/>
    </xf>
    <xf numFmtId="0" fontId="19" fillId="53" borderId="156" applyNumberFormat="0" applyProtection="0">
      <alignment horizontal="left" vertical="center" indent="1"/>
    </xf>
    <xf numFmtId="0" fontId="19" fillId="53" borderId="156" applyNumberFormat="0" applyProtection="0">
      <alignment horizontal="left" vertical="top" indent="1"/>
    </xf>
    <xf numFmtId="0" fontId="19" fillId="10" borderId="156" applyNumberFormat="0" applyProtection="0">
      <alignment horizontal="left" vertical="center" indent="1"/>
    </xf>
    <xf numFmtId="0" fontId="19" fillId="10" borderId="156" applyNumberFormat="0" applyProtection="0">
      <alignment horizontal="left" vertical="top" indent="1"/>
    </xf>
    <xf numFmtId="4" fontId="78" fillId="54" borderId="156" applyNumberFormat="0" applyProtection="0">
      <alignment vertical="center"/>
    </xf>
    <xf numFmtId="4" fontId="81" fillId="54" borderId="156" applyNumberFormat="0" applyProtection="0">
      <alignment vertical="center"/>
    </xf>
    <xf numFmtId="4" fontId="78" fillId="54" borderId="156" applyNumberFormat="0" applyProtection="0">
      <alignment horizontal="left" vertical="center" indent="1"/>
    </xf>
    <xf numFmtId="0" fontId="78" fillId="54" borderId="156" applyNumberFormat="0" applyProtection="0">
      <alignment horizontal="left" vertical="top" indent="1"/>
    </xf>
    <xf numFmtId="4" fontId="78" fillId="50" borderId="156" applyNumberFormat="0" applyProtection="0">
      <alignment horizontal="right" vertical="center"/>
    </xf>
    <xf numFmtId="4" fontId="81" fillId="50" borderId="156" applyNumberFormat="0" applyProtection="0">
      <alignment horizontal="right" vertical="center"/>
    </xf>
    <xf numFmtId="0" fontId="19" fillId="46" borderId="158" applyNumberFormat="0" applyProtection="0">
      <alignment horizontal="left" vertical="center" indent="1"/>
    </xf>
    <xf numFmtId="0" fontId="78" fillId="47" borderId="159" applyNumberFormat="0" applyProtection="0">
      <alignment horizontal="left" vertical="top" indent="1"/>
    </xf>
    <xf numFmtId="4" fontId="82" fillId="55" borderId="0" applyNumberFormat="0" applyProtection="0">
      <alignment horizontal="left" vertical="center" indent="1"/>
    </xf>
    <xf numFmtId="4" fontId="83" fillId="50" borderId="159" applyNumberFormat="0" applyProtection="0">
      <alignment horizontal="right" vertical="center"/>
    </xf>
    <xf numFmtId="0" fontId="84" fillId="56" borderId="0"/>
    <xf numFmtId="49" fontId="85" fillId="56" borderId="0"/>
    <xf numFmtId="49" fontId="86" fillId="56" borderId="160"/>
    <xf numFmtId="49" fontId="86" fillId="56" borderId="0"/>
    <xf numFmtId="0" fontId="84" fillId="15" borderId="160">
      <protection locked="0"/>
    </xf>
    <xf numFmtId="0" fontId="84" fillId="56" borderId="0"/>
    <xf numFmtId="0" fontId="86" fillId="19" borderId="0"/>
    <xf numFmtId="0" fontId="86" fillId="57" borderId="0"/>
    <xf numFmtId="0" fontId="86" fillId="58" borderId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49" fontId="4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4" fontId="41" fillId="4" borderId="3" applyFont="0" applyBorder="0">
      <alignment horizontal="right"/>
    </xf>
    <xf numFmtId="4" fontId="41" fillId="5" borderId="4" applyBorder="0">
      <alignment horizontal="right"/>
    </xf>
    <xf numFmtId="4" fontId="41" fillId="4" borderId="0" applyFont="0" applyBorder="0">
      <alignment horizontal="right"/>
    </xf>
    <xf numFmtId="4" fontId="41" fillId="4" borderId="0" applyBorder="0">
      <alignment horizontal="right"/>
    </xf>
    <xf numFmtId="4" fontId="41" fillId="4" borderId="0" applyFont="0" applyBorder="0">
      <alignment horizontal="right"/>
    </xf>
    <xf numFmtId="4" fontId="41" fillId="4" borderId="0" applyBorder="0">
      <alignment horizontal="right"/>
    </xf>
    <xf numFmtId="185" fontId="19" fillId="0" borderId="0" applyFill="0" applyBorder="0" applyAlignment="0" applyProtection="0"/>
    <xf numFmtId="168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9" fontId="42" fillId="0" borderId="0">
      <alignment horizontal="center"/>
    </xf>
    <xf numFmtId="0" fontId="34" fillId="0" borderId="0"/>
    <xf numFmtId="0" fontId="70" fillId="0" borderId="0"/>
    <xf numFmtId="9" fontId="31" fillId="0" borderId="0" applyFill="0" applyBorder="0" applyAlignment="0" applyProtection="0"/>
    <xf numFmtId="9" fontId="19" fillId="0" borderId="0" applyFill="0" applyBorder="0" applyAlignment="0" applyProtection="0"/>
    <xf numFmtId="0" fontId="52" fillId="45" borderId="162" applyNumberFormat="0" applyFont="0" applyAlignment="0" applyProtection="0"/>
    <xf numFmtId="0" fontId="31" fillId="0" borderId="0"/>
    <xf numFmtId="0" fontId="31" fillId="0" borderId="0"/>
    <xf numFmtId="0" fontId="31" fillId="0" borderId="0"/>
    <xf numFmtId="49" fontId="41" fillId="0" borderId="0" applyBorder="0">
      <alignment vertical="top"/>
    </xf>
    <xf numFmtId="49" fontId="41" fillId="0" borderId="0" applyBorder="0">
      <alignment vertical="top"/>
    </xf>
    <xf numFmtId="0" fontId="31" fillId="0" borderId="0"/>
    <xf numFmtId="49" fontId="41" fillId="0" borderId="0" applyBorder="0">
      <alignment vertical="top"/>
    </xf>
    <xf numFmtId="0" fontId="19" fillId="0" borderId="0"/>
    <xf numFmtId="0" fontId="56" fillId="42" borderId="15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41" fillId="3" borderId="130" applyBorder="0">
      <alignment horizontal="right"/>
    </xf>
    <xf numFmtId="0" fontId="61" fillId="0" borderId="161" applyNumberFormat="0" applyFill="0" applyAlignment="0" applyProtection="0"/>
    <xf numFmtId="49" fontId="41" fillId="0" borderId="0" applyBorder="0">
      <alignment vertical="top"/>
    </xf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31" fillId="0" borderId="0"/>
    <xf numFmtId="0" fontId="31" fillId="0" borderId="0"/>
    <xf numFmtId="0" fontId="44" fillId="0" borderId="0">
      <alignment horizontal="centerContinuous" vertical="center" wrapText="1"/>
    </xf>
    <xf numFmtId="0" fontId="52" fillId="45" borderId="162" applyNumberFormat="0" applyFont="0" applyAlignment="0" applyProtection="0"/>
    <xf numFmtId="0" fontId="61" fillId="0" borderId="161" applyNumberFormat="0" applyFill="0" applyAlignment="0" applyProtection="0"/>
    <xf numFmtId="0" fontId="57" fillId="42" borderId="163" applyNumberFormat="0" applyAlignment="0" applyProtection="0"/>
    <xf numFmtId="0" fontId="56" fillId="42" borderId="164" applyNumberFormat="0" applyAlignment="0" applyProtection="0"/>
    <xf numFmtId="0" fontId="55" fillId="29" borderId="16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>
      <alignment horizontal="centerContinuous" vertical="center" wrapText="1"/>
    </xf>
    <xf numFmtId="0" fontId="61" fillId="0" borderId="161" applyNumberFormat="0" applyFill="0" applyAlignment="0" applyProtection="0"/>
    <xf numFmtId="0" fontId="57" fillId="42" borderId="163" applyNumberFormat="0" applyAlignment="0" applyProtection="0"/>
    <xf numFmtId="0" fontId="56" fillId="42" borderId="164" applyNumberFormat="0" applyAlignment="0" applyProtection="0"/>
    <xf numFmtId="0" fontId="55" fillId="29" borderId="163" applyNumberFormat="0" applyAlignment="0" applyProtection="0"/>
    <xf numFmtId="0" fontId="55" fillId="29" borderId="163" applyNumberFormat="0" applyAlignment="0" applyProtection="0"/>
    <xf numFmtId="0" fontId="56" fillId="42" borderId="164" applyNumberFormat="0" applyAlignment="0" applyProtection="0"/>
    <xf numFmtId="0" fontId="57" fillId="42" borderId="163" applyNumberFormat="0" applyAlignment="0" applyProtection="0"/>
    <xf numFmtId="0" fontId="61" fillId="0" borderId="161" applyNumberFormat="0" applyFill="0" applyAlignment="0" applyProtection="0"/>
    <xf numFmtId="0" fontId="55" fillId="29" borderId="163" applyNumberFormat="0" applyAlignment="0" applyProtection="0"/>
    <xf numFmtId="0" fontId="56" fillId="42" borderId="164" applyNumberFormat="0" applyAlignment="0" applyProtection="0"/>
    <xf numFmtId="0" fontId="57" fillId="42" borderId="163" applyNumberFormat="0" applyAlignment="0" applyProtection="0"/>
    <xf numFmtId="0" fontId="19" fillId="0" borderId="0"/>
    <xf numFmtId="0" fontId="19" fillId="0" borderId="0"/>
    <xf numFmtId="0" fontId="19" fillId="0" borderId="0"/>
    <xf numFmtId="0" fontId="61" fillId="0" borderId="16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4" fillId="0" borderId="0">
      <alignment horizontal="centerContinuous" vertical="center" wrapText="1"/>
    </xf>
    <xf numFmtId="0" fontId="24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49" fontId="41" fillId="0" borderId="0" applyBorder="0">
      <alignment vertical="top"/>
    </xf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41" fillId="0" borderId="0" applyBorder="0">
      <alignment vertical="top"/>
    </xf>
    <xf numFmtId="0" fontId="31" fillId="0" borderId="0"/>
    <xf numFmtId="49" fontId="41" fillId="0" borderId="0" applyBorder="0">
      <alignment vertical="top"/>
    </xf>
    <xf numFmtId="49" fontId="41" fillId="0" borderId="0" applyBorder="0">
      <alignment vertical="top"/>
    </xf>
    <xf numFmtId="0" fontId="31" fillId="0" borderId="0"/>
    <xf numFmtId="0" fontId="31" fillId="0" borderId="0"/>
    <xf numFmtId="0" fontId="31" fillId="0" borderId="0"/>
    <xf numFmtId="0" fontId="52" fillId="45" borderId="162" applyNumberFormat="0" applyFont="0" applyAlignment="0" applyProtection="0"/>
    <xf numFmtId="0" fontId="52" fillId="45" borderId="162" applyNumberFormat="0" applyFont="0" applyAlignment="0" applyProtection="0"/>
    <xf numFmtId="9" fontId="19" fillId="0" borderId="0" applyFill="0" applyBorder="0" applyAlignment="0" applyProtection="0"/>
    <xf numFmtId="9" fontId="31" fillId="0" borderId="0" applyFill="0" applyBorder="0" applyAlignment="0" applyProtection="0"/>
    <xf numFmtId="0" fontId="70" fillId="0" borderId="0"/>
    <xf numFmtId="49" fontId="42" fillId="0" borderId="0">
      <alignment horizontal="center"/>
    </xf>
    <xf numFmtId="18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85" fontId="19" fillId="0" borderId="0" applyFill="0" applyBorder="0" applyAlignment="0" applyProtection="0"/>
    <xf numFmtId="4" fontId="41" fillId="5" borderId="4" applyBorder="0">
      <alignment horizontal="right"/>
    </xf>
    <xf numFmtId="4" fontId="41" fillId="4" borderId="3" applyFont="0" applyBorder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49" fontId="41" fillId="0" borderId="0" applyBorder="0">
      <alignment vertical="top"/>
    </xf>
    <xf numFmtId="0" fontId="31" fillId="0" borderId="0"/>
    <xf numFmtId="49" fontId="41" fillId="0" borderId="0" applyBorder="0">
      <alignment vertical="top"/>
    </xf>
    <xf numFmtId="49" fontId="41" fillId="0" borderId="0" applyBorder="0">
      <alignment vertical="top"/>
    </xf>
    <xf numFmtId="0" fontId="31" fillId="0" borderId="0"/>
    <xf numFmtId="0" fontId="31" fillId="0" borderId="0"/>
    <xf numFmtId="0" fontId="31" fillId="0" borderId="0"/>
    <xf numFmtId="0" fontId="52" fillId="45" borderId="162" applyNumberFormat="0" applyFont="0" applyAlignment="0" applyProtection="0"/>
    <xf numFmtId="9" fontId="19" fillId="0" borderId="0" applyFill="0" applyBorder="0" applyAlignment="0" applyProtection="0"/>
    <xf numFmtId="9" fontId="31" fillId="0" borderId="0" applyFill="0" applyBorder="0" applyAlignment="0" applyProtection="0"/>
    <xf numFmtId="0" fontId="70" fillId="0" borderId="0"/>
    <xf numFmtId="49" fontId="42" fillId="0" borderId="0">
      <alignment horizontal="center"/>
    </xf>
    <xf numFmtId="18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85" fontId="19" fillId="0" borderId="0" applyFill="0" applyBorder="0" applyAlignment="0" applyProtection="0"/>
    <xf numFmtId="4" fontId="41" fillId="5" borderId="4" applyBorder="0">
      <alignment horizontal="right"/>
    </xf>
    <xf numFmtId="4" fontId="41" fillId="4" borderId="3" applyFont="0" applyBorder="0">
      <alignment horizontal="right"/>
    </xf>
  </cellStyleXfs>
  <cellXfs count="883">
    <xf numFmtId="0" fontId="0" fillId="0" borderId="0" xfId="0"/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6" xfId="13" applyNumberFormat="1" applyFont="1" applyFill="1" applyBorder="1" applyAlignment="1" applyProtection="1">
      <alignment horizontal="center" vertical="center" wrapText="1"/>
    </xf>
    <xf numFmtId="0" fontId="6" fillId="0" borderId="7" xfId="13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9" fillId="0" borderId="10" xfId="0" applyFont="1" applyBorder="1"/>
    <xf numFmtId="0" fontId="9" fillId="0" borderId="10" xfId="0" applyFont="1" applyBorder="1" applyAlignment="1">
      <alignment horizontal="left" indent="2"/>
    </xf>
    <xf numFmtId="0" fontId="9" fillId="0" borderId="11" xfId="0" applyFont="1" applyBorder="1"/>
    <xf numFmtId="0" fontId="9" fillId="0" borderId="11" xfId="0" applyFont="1" applyBorder="1" applyAlignment="1">
      <alignment horizontal="left" indent="2"/>
    </xf>
    <xf numFmtId="0" fontId="3" fillId="0" borderId="12" xfId="0" applyFont="1" applyBorder="1"/>
    <xf numFmtId="0" fontId="8" fillId="0" borderId="13" xfId="0" applyFont="1" applyBorder="1"/>
    <xf numFmtId="49" fontId="9" fillId="0" borderId="11" xfId="0" applyNumberFormat="1" applyFont="1" applyBorder="1"/>
    <xf numFmtId="0" fontId="9" fillId="0" borderId="0" xfId="0" applyFont="1"/>
    <xf numFmtId="0" fontId="3" fillId="0" borderId="14" xfId="0" applyFont="1" applyBorder="1"/>
    <xf numFmtId="0" fontId="3" fillId="0" borderId="15" xfId="0" applyFont="1" applyBorder="1"/>
    <xf numFmtId="0" fontId="3" fillId="0" borderId="15" xfId="0" applyFont="1" applyFill="1" applyBorder="1"/>
    <xf numFmtId="0" fontId="7" fillId="6" borderId="16" xfId="0" applyFont="1" applyFill="1" applyBorder="1" applyAlignment="1">
      <alignment horizontal="center" vertical="center" textRotation="90"/>
    </xf>
    <xf numFmtId="0" fontId="5" fillId="6" borderId="16" xfId="0" applyFont="1" applyFill="1" applyBorder="1"/>
    <xf numFmtId="0" fontId="11" fillId="6" borderId="16" xfId="0" applyFont="1" applyFill="1" applyBorder="1"/>
    <xf numFmtId="165" fontId="3" fillId="0" borderId="0" xfId="0" applyNumberFormat="1" applyFont="1"/>
    <xf numFmtId="2" fontId="3" fillId="0" borderId="0" xfId="0" applyNumberFormat="1" applyFont="1"/>
    <xf numFmtId="0" fontId="10" fillId="0" borderId="0" xfId="0" applyFont="1"/>
    <xf numFmtId="10" fontId="3" fillId="0" borderId="0" xfId="0" applyNumberFormat="1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7" fillId="0" borderId="9" xfId="13" applyFont="1" applyBorder="1" applyAlignment="1">
      <alignment horizontal="left" wrapText="1"/>
    </xf>
    <xf numFmtId="0" fontId="18" fillId="0" borderId="23" xfId="13" applyFont="1" applyBorder="1" applyAlignment="1">
      <alignment wrapText="1"/>
    </xf>
    <xf numFmtId="164" fontId="17" fillId="0" borderId="24" xfId="0" applyNumberFormat="1" applyFont="1" applyBorder="1" applyAlignment="1">
      <alignment horizontal="right"/>
    </xf>
    <xf numFmtId="164" fontId="17" fillId="0" borderId="25" xfId="0" applyNumberFormat="1" applyFont="1" applyBorder="1" applyAlignment="1">
      <alignment horizontal="right"/>
    </xf>
    <xf numFmtId="164" fontId="17" fillId="0" borderId="26" xfId="0" applyNumberFormat="1" applyFont="1" applyBorder="1" applyAlignment="1">
      <alignment horizontal="right"/>
    </xf>
    <xf numFmtId="164" fontId="17" fillId="0" borderId="27" xfId="0" applyNumberFormat="1" applyFont="1" applyBorder="1" applyAlignment="1">
      <alignment horizontal="right"/>
    </xf>
    <xf numFmtId="0" fontId="16" fillId="0" borderId="10" xfId="13" applyFont="1" applyBorder="1" applyAlignment="1">
      <alignment horizontal="left" vertical="center" wrapText="1"/>
    </xf>
    <xf numFmtId="0" fontId="19" fillId="0" borderId="28" xfId="13" applyFont="1" applyBorder="1" applyAlignment="1">
      <alignment wrapText="1"/>
    </xf>
    <xf numFmtId="0" fontId="20" fillId="0" borderId="29" xfId="13" applyFont="1" applyBorder="1" applyAlignment="1">
      <alignment horizontal="left" vertical="center" wrapText="1"/>
    </xf>
    <xf numFmtId="0" fontId="21" fillId="0" borderId="30" xfId="13" applyFont="1" applyBorder="1" applyAlignment="1">
      <alignment wrapText="1"/>
    </xf>
    <xf numFmtId="164" fontId="20" fillId="0" borderId="31" xfId="0" applyNumberFormat="1" applyFont="1" applyBorder="1" applyAlignment="1">
      <alignment horizontal="right"/>
    </xf>
    <xf numFmtId="164" fontId="20" fillId="0" borderId="32" xfId="0" applyNumberFormat="1" applyFont="1" applyBorder="1" applyAlignment="1">
      <alignment horizontal="right"/>
    </xf>
    <xf numFmtId="164" fontId="20" fillId="8" borderId="32" xfId="0" applyNumberFormat="1" applyFont="1" applyFill="1" applyBorder="1" applyAlignment="1">
      <alignment horizontal="right"/>
    </xf>
    <xf numFmtId="164" fontId="20" fillId="0" borderId="33" xfId="0" applyNumberFormat="1" applyFont="1" applyBorder="1" applyAlignment="1">
      <alignment horizontal="right"/>
    </xf>
    <xf numFmtId="164" fontId="20" fillId="8" borderId="34" xfId="0" applyNumberFormat="1" applyFont="1" applyFill="1" applyBorder="1" applyAlignment="1">
      <alignment horizontal="right"/>
    </xf>
    <xf numFmtId="0" fontId="20" fillId="0" borderId="35" xfId="13" applyFont="1" applyBorder="1" applyAlignment="1">
      <alignment horizontal="left" vertical="center" wrapText="1"/>
    </xf>
    <xf numFmtId="0" fontId="21" fillId="0" borderId="36" xfId="13" applyFont="1" applyBorder="1" applyAlignment="1">
      <alignment horizontal="left" wrapText="1" indent="12"/>
    </xf>
    <xf numFmtId="164" fontId="20" fillId="8" borderId="33" xfId="0" applyNumberFormat="1" applyFont="1" applyFill="1" applyBorder="1" applyAlignment="1">
      <alignment horizontal="right"/>
    </xf>
    <xf numFmtId="164" fontId="20" fillId="0" borderId="34" xfId="0" applyNumberFormat="1" applyFont="1" applyBorder="1" applyAlignment="1">
      <alignment horizontal="right"/>
    </xf>
    <xf numFmtId="0" fontId="20" fillId="0" borderId="37" xfId="13" applyFont="1" applyBorder="1" applyAlignment="1">
      <alignment horizontal="left" vertical="center" wrapText="1"/>
    </xf>
    <xf numFmtId="0" fontId="21" fillId="0" borderId="38" xfId="13" applyFont="1" applyBorder="1" applyAlignment="1">
      <alignment horizontal="left" wrapText="1" indent="12"/>
    </xf>
    <xf numFmtId="164" fontId="20" fillId="0" borderId="39" xfId="0" applyNumberFormat="1" applyFont="1" applyBorder="1" applyAlignment="1">
      <alignment horizontal="right"/>
    </xf>
    <xf numFmtId="164" fontId="20" fillId="0" borderId="40" xfId="0" applyNumberFormat="1" applyFont="1" applyBorder="1" applyAlignment="1">
      <alignment horizontal="right"/>
    </xf>
    <xf numFmtId="164" fontId="20" fillId="8" borderId="40" xfId="0" applyNumberFormat="1" applyFont="1" applyFill="1" applyBorder="1" applyAlignment="1">
      <alignment horizontal="right"/>
    </xf>
    <xf numFmtId="164" fontId="20" fillId="8" borderId="41" xfId="0" applyNumberFormat="1" applyFont="1" applyFill="1" applyBorder="1" applyAlignment="1">
      <alignment horizontal="right"/>
    </xf>
    <xf numFmtId="164" fontId="20" fillId="0" borderId="42" xfId="0" applyNumberFormat="1" applyFont="1" applyBorder="1" applyAlignment="1">
      <alignment horizontal="right"/>
    </xf>
    <xf numFmtId="0" fontId="16" fillId="0" borderId="10" xfId="13" applyFont="1" applyBorder="1" applyAlignment="1">
      <alignment horizontal="left" wrapText="1"/>
    </xf>
    <xf numFmtId="0" fontId="16" fillId="0" borderId="14" xfId="13" applyFont="1" applyBorder="1" applyAlignment="1">
      <alignment horizontal="left" wrapText="1"/>
    </xf>
    <xf numFmtId="0" fontId="19" fillId="0" borderId="43" xfId="13" applyFont="1" applyBorder="1" applyAlignment="1">
      <alignment wrapText="1"/>
    </xf>
    <xf numFmtId="0" fontId="16" fillId="0" borderId="18" xfId="13" applyFont="1" applyBorder="1" applyAlignment="1">
      <alignment horizontal="left" wrapText="1"/>
    </xf>
    <xf numFmtId="0" fontId="19" fillId="0" borderId="44" xfId="13" applyFont="1" applyBorder="1" applyAlignment="1">
      <alignment wrapText="1"/>
    </xf>
    <xf numFmtId="0" fontId="17" fillId="0" borderId="17" xfId="13" applyFont="1" applyBorder="1" applyAlignment="1">
      <alignment vertical="center" wrapText="1"/>
    </xf>
    <xf numFmtId="0" fontId="17" fillId="0" borderId="18" xfId="13" applyFont="1" applyBorder="1" applyAlignment="1">
      <alignment vertical="center" wrapText="1"/>
    </xf>
    <xf numFmtId="0" fontId="18" fillId="0" borderId="45" xfId="13" applyFont="1" applyBorder="1" applyAlignment="1">
      <alignment wrapText="1"/>
    </xf>
    <xf numFmtId="0" fontId="17" fillId="0" borderId="13" xfId="13" applyFont="1" applyBorder="1" applyAlignment="1">
      <alignment horizontal="left" vertical="top" wrapText="1"/>
    </xf>
    <xf numFmtId="0" fontId="18" fillId="0" borderId="46" xfId="13" applyFont="1" applyBorder="1" applyAlignment="1">
      <alignment horizontal="left" wrapText="1"/>
    </xf>
    <xf numFmtId="0" fontId="17" fillId="0" borderId="13" xfId="13" applyFont="1" applyBorder="1" applyAlignment="1">
      <alignment horizontal="left" wrapText="1"/>
    </xf>
    <xf numFmtId="0" fontId="18" fillId="0" borderId="46" xfId="13" applyFont="1" applyBorder="1" applyAlignment="1">
      <alignment wrapText="1"/>
    </xf>
    <xf numFmtId="0" fontId="16" fillId="0" borderId="9" xfId="13" applyFont="1" applyBorder="1" applyAlignment="1">
      <alignment vertical="center" wrapText="1"/>
    </xf>
    <xf numFmtId="0" fontId="19" fillId="0" borderId="9" xfId="13" applyFont="1" applyBorder="1" applyAlignment="1">
      <alignment wrapText="1"/>
    </xf>
    <xf numFmtId="0" fontId="16" fillId="0" borderId="47" xfId="13" applyFont="1" applyBorder="1" applyAlignment="1">
      <alignment vertical="center" wrapText="1"/>
    </xf>
    <xf numFmtId="0" fontId="21" fillId="0" borderId="48" xfId="13" applyFont="1" applyBorder="1" applyAlignment="1">
      <alignment wrapText="1"/>
    </xf>
    <xf numFmtId="0" fontId="16" fillId="0" borderId="14" xfId="13" applyFont="1" applyBorder="1" applyAlignment="1">
      <alignment vertical="center" wrapText="1"/>
    </xf>
    <xf numFmtId="0" fontId="21" fillId="0" borderId="43" xfId="13" applyFont="1" applyBorder="1" applyAlignment="1">
      <alignment horizontal="left" wrapText="1" indent="4"/>
    </xf>
    <xf numFmtId="0" fontId="16" fillId="0" borderId="49" xfId="13" applyFont="1" applyBorder="1" applyAlignment="1">
      <alignment horizontal="left" wrapText="1"/>
    </xf>
    <xf numFmtId="0" fontId="19" fillId="0" borderId="36" xfId="13" applyFont="1" applyBorder="1" applyAlignment="1">
      <alignment wrapText="1"/>
    </xf>
    <xf numFmtId="0" fontId="16" fillId="0" borderId="12" xfId="13" applyFont="1" applyBorder="1" applyAlignment="1">
      <alignment horizontal="left" wrapText="1"/>
    </xf>
    <xf numFmtId="0" fontId="19" fillId="0" borderId="50" xfId="13" applyFont="1" applyBorder="1" applyAlignment="1">
      <alignment wrapText="1"/>
    </xf>
    <xf numFmtId="167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0" fontId="26" fillId="0" borderId="0" xfId="15" applyFont="1"/>
    <xf numFmtId="0" fontId="26" fillId="0" borderId="0" xfId="15" applyNumberFormat="1" applyFont="1" applyAlignment="1">
      <alignment horizontal="center"/>
    </xf>
    <xf numFmtId="0" fontId="27" fillId="0" borderId="0" xfId="15" applyFont="1"/>
    <xf numFmtId="0" fontId="6" fillId="0" borderId="51" xfId="14" applyNumberFormat="1" applyFont="1" applyFill="1" applyBorder="1" applyAlignment="1" applyProtection="1">
      <alignment horizontal="center" vertical="center" wrapText="1"/>
    </xf>
    <xf numFmtId="0" fontId="6" fillId="0" borderId="52" xfId="14" applyNumberFormat="1" applyFont="1" applyFill="1" applyBorder="1" applyAlignment="1" applyProtection="1">
      <alignment horizontal="center" vertical="center" wrapText="1"/>
    </xf>
    <xf numFmtId="0" fontId="27" fillId="0" borderId="0" xfId="15" applyFont="1" applyAlignment="1">
      <alignment horizontal="center" vertical="center" wrapText="1"/>
    </xf>
    <xf numFmtId="0" fontId="23" fillId="0" borderId="0" xfId="15" applyFont="1"/>
    <xf numFmtId="0" fontId="28" fillId="9" borderId="53" xfId="15" applyFont="1" applyFill="1" applyBorder="1" applyAlignment="1">
      <alignment horizontal="center" vertical="center" textRotation="90"/>
    </xf>
    <xf numFmtId="0" fontId="3" fillId="0" borderId="0" xfId="15" applyFont="1"/>
    <xf numFmtId="165" fontId="3" fillId="0" borderId="0" xfId="15" applyNumberFormat="1" applyFont="1"/>
    <xf numFmtId="2" fontId="26" fillId="0" borderId="0" xfId="15" applyNumberFormat="1" applyFont="1"/>
    <xf numFmtId="0" fontId="8" fillId="0" borderId="0" xfId="15" applyFont="1"/>
    <xf numFmtId="168" fontId="26" fillId="0" borderId="0" xfId="15" applyNumberFormat="1" applyFont="1"/>
    <xf numFmtId="0" fontId="6" fillId="0" borderId="54" xfId="15" applyFont="1" applyBorder="1" applyAlignment="1">
      <alignment horizontal="center"/>
    </xf>
    <xf numFmtId="0" fontId="6" fillId="0" borderId="55" xfId="15" applyFont="1" applyBorder="1" applyAlignment="1">
      <alignment horizontal="center"/>
    </xf>
    <xf numFmtId="0" fontId="6" fillId="0" borderId="3" xfId="15" applyFont="1" applyBorder="1" applyAlignment="1">
      <alignment horizontal="center"/>
    </xf>
    <xf numFmtId="0" fontId="6" fillId="0" borderId="56" xfId="15" applyFont="1" applyBorder="1" applyAlignment="1">
      <alignment horizontal="center"/>
    </xf>
    <xf numFmtId="0" fontId="16" fillId="0" borderId="57" xfId="14" applyNumberFormat="1" applyFont="1" applyFill="1" applyBorder="1" applyAlignment="1" applyProtection="1">
      <alignment horizontal="center" vertical="top"/>
    </xf>
    <xf numFmtId="0" fontId="16" fillId="0" borderId="57" xfId="14" applyNumberFormat="1" applyFont="1" applyFill="1" applyBorder="1" applyAlignment="1" applyProtection="1">
      <alignment horizontal="center" vertical="top" wrapText="1"/>
    </xf>
    <xf numFmtId="0" fontId="16" fillId="0" borderId="58" xfId="15" applyFont="1" applyBorder="1" applyAlignment="1">
      <alignment horizontal="center" vertical="center"/>
    </xf>
    <xf numFmtId="0" fontId="16" fillId="0" borderId="59" xfId="15" applyFont="1" applyBorder="1" applyAlignment="1">
      <alignment horizontal="center" vertical="center"/>
    </xf>
    <xf numFmtId="0" fontId="16" fillId="0" borderId="60" xfId="15" applyFont="1" applyBorder="1" applyAlignment="1">
      <alignment horizontal="center" vertical="center"/>
    </xf>
    <xf numFmtId="0" fontId="16" fillId="0" borderId="61" xfId="15" applyFont="1" applyBorder="1" applyAlignment="1">
      <alignment horizontal="center" vertical="center"/>
    </xf>
    <xf numFmtId="0" fontId="17" fillId="0" borderId="62" xfId="14" applyFont="1" applyBorder="1" applyAlignment="1">
      <alignment horizontal="left" wrapText="1"/>
    </xf>
    <xf numFmtId="0" fontId="18" fillId="0" borderId="63" xfId="14" applyFont="1" applyBorder="1" applyAlignment="1">
      <alignment wrapText="1"/>
    </xf>
    <xf numFmtId="0" fontId="16" fillId="0" borderId="64" xfId="14" applyFont="1" applyBorder="1" applyAlignment="1">
      <alignment horizontal="left" vertical="center" wrapText="1"/>
    </xf>
    <xf numFmtId="0" fontId="19" fillId="0" borderId="65" xfId="14" applyFont="1" applyBorder="1" applyAlignment="1">
      <alignment wrapText="1"/>
    </xf>
    <xf numFmtId="164" fontId="16" fillId="0" borderId="66" xfId="15" applyNumberFormat="1" applyFont="1" applyBorder="1" applyAlignment="1">
      <alignment horizontal="right"/>
    </xf>
    <xf numFmtId="164" fontId="16" fillId="0" borderId="67" xfId="15" applyNumberFormat="1" applyFont="1" applyBorder="1" applyAlignment="1">
      <alignment horizontal="right"/>
    </xf>
    <xf numFmtId="164" fontId="16" fillId="0" borderId="68" xfId="15" applyNumberFormat="1" applyFont="1" applyBorder="1" applyAlignment="1">
      <alignment horizontal="right"/>
    </xf>
    <xf numFmtId="164" fontId="16" fillId="0" borderId="69" xfId="15" applyNumberFormat="1" applyFont="1" applyBorder="1" applyAlignment="1">
      <alignment horizontal="right"/>
    </xf>
    <xf numFmtId="0" fontId="20" fillId="0" borderId="70" xfId="14" applyFont="1" applyBorder="1" applyAlignment="1">
      <alignment horizontal="left" vertical="center" wrapText="1"/>
    </xf>
    <xf numFmtId="0" fontId="21" fillId="0" borderId="71" xfId="14" applyFont="1" applyBorder="1" applyAlignment="1">
      <alignment wrapText="1"/>
    </xf>
    <xf numFmtId="0" fontId="20" fillId="0" borderId="72" xfId="14" applyFont="1" applyBorder="1" applyAlignment="1">
      <alignment horizontal="left" vertical="center" wrapText="1"/>
    </xf>
    <xf numFmtId="0" fontId="21" fillId="0" borderId="73" xfId="14" applyFont="1" applyBorder="1" applyAlignment="1">
      <alignment horizontal="left" wrapText="1" indent="12"/>
    </xf>
    <xf numFmtId="0" fontId="20" fillId="0" borderId="74" xfId="14" applyFont="1" applyBorder="1" applyAlignment="1">
      <alignment horizontal="left" vertical="center" wrapText="1"/>
    </xf>
    <xf numFmtId="0" fontId="21" fillId="0" borderId="75" xfId="14" applyFont="1" applyBorder="1" applyAlignment="1">
      <alignment horizontal="left" wrapText="1" indent="12"/>
    </xf>
    <xf numFmtId="0" fontId="16" fillId="0" borderId="64" xfId="14" applyFont="1" applyBorder="1" applyAlignment="1">
      <alignment horizontal="left" wrapText="1"/>
    </xf>
    <xf numFmtId="0" fontId="16" fillId="0" borderId="76" xfId="14" applyFont="1" applyBorder="1" applyAlignment="1">
      <alignment horizontal="left" wrapText="1"/>
    </xf>
    <xf numFmtId="0" fontId="19" fillId="0" borderId="77" xfId="14" applyFont="1" applyBorder="1" applyAlignment="1">
      <alignment wrapText="1"/>
    </xf>
    <xf numFmtId="164" fontId="16" fillId="0" borderId="78" xfId="15" applyNumberFormat="1" applyFont="1" applyBorder="1" applyAlignment="1">
      <alignment horizontal="right"/>
    </xf>
    <xf numFmtId="164" fontId="16" fillId="0" borderId="79" xfId="15" applyNumberFormat="1" applyFont="1" applyBorder="1" applyAlignment="1">
      <alignment horizontal="right"/>
    </xf>
    <xf numFmtId="164" fontId="16" fillId="0" borderId="80" xfId="15" applyNumberFormat="1" applyFont="1" applyBorder="1" applyAlignment="1">
      <alignment horizontal="right"/>
    </xf>
    <xf numFmtId="164" fontId="16" fillId="0" borderId="81" xfId="15" applyNumberFormat="1" applyFont="1" applyBorder="1" applyAlignment="1">
      <alignment horizontal="right"/>
    </xf>
    <xf numFmtId="0" fontId="16" fillId="0" borderId="82" xfId="14" applyFont="1" applyBorder="1" applyAlignment="1">
      <alignment horizontal="left" wrapText="1"/>
    </xf>
    <xf numFmtId="0" fontId="19" fillId="0" borderId="83" xfId="14" applyFont="1" applyBorder="1" applyAlignment="1">
      <alignment wrapText="1"/>
    </xf>
    <xf numFmtId="164" fontId="16" fillId="0" borderId="84" xfId="15" applyNumberFormat="1" applyFont="1" applyBorder="1" applyAlignment="1">
      <alignment horizontal="right"/>
    </xf>
    <xf numFmtId="164" fontId="16" fillId="0" borderId="85" xfId="15" applyNumberFormat="1" applyFont="1" applyBorder="1" applyAlignment="1">
      <alignment horizontal="right"/>
    </xf>
    <xf numFmtId="164" fontId="16" fillId="0" borderId="86" xfId="15" applyNumberFormat="1" applyFont="1" applyBorder="1" applyAlignment="1">
      <alignment horizontal="right"/>
    </xf>
    <xf numFmtId="164" fontId="16" fillId="0" borderId="87" xfId="15" applyNumberFormat="1" applyFont="1" applyBorder="1" applyAlignment="1">
      <alignment horizontal="right"/>
    </xf>
    <xf numFmtId="0" fontId="17" fillId="0" borderId="88" xfId="14" applyFont="1" applyBorder="1" applyAlignment="1">
      <alignment vertical="center" wrapText="1"/>
    </xf>
    <xf numFmtId="0" fontId="18" fillId="0" borderId="89" xfId="14" applyFont="1" applyBorder="1" applyAlignment="1">
      <alignment wrapText="1"/>
    </xf>
    <xf numFmtId="164" fontId="17" fillId="0" borderId="4" xfId="15" applyNumberFormat="1" applyFont="1" applyBorder="1" applyAlignment="1">
      <alignment horizontal="right"/>
    </xf>
    <xf numFmtId="164" fontId="17" fillId="0" borderId="90" xfId="15" applyNumberFormat="1" applyFont="1" applyBorder="1" applyAlignment="1">
      <alignment horizontal="right"/>
    </xf>
    <xf numFmtId="164" fontId="17" fillId="0" borderId="89" xfId="15" applyNumberFormat="1" applyFont="1" applyBorder="1" applyAlignment="1">
      <alignment horizontal="right"/>
    </xf>
    <xf numFmtId="0" fontId="17" fillId="0" borderId="82" xfId="14" applyFont="1" applyBorder="1" applyAlignment="1">
      <alignment vertical="center" wrapText="1"/>
    </xf>
    <xf numFmtId="0" fontId="18" fillId="0" borderId="91" xfId="14" applyFont="1" applyBorder="1" applyAlignment="1">
      <alignment wrapText="1"/>
    </xf>
    <xf numFmtId="10" fontId="17" fillId="0" borderId="59" xfId="15" applyNumberFormat="1" applyFont="1" applyBorder="1" applyAlignment="1">
      <alignment horizontal="right"/>
    </xf>
    <xf numFmtId="0" fontId="17" fillId="0" borderId="92" xfId="14" applyFont="1" applyBorder="1" applyAlignment="1">
      <alignment horizontal="left" vertical="justify" wrapText="1"/>
    </xf>
    <xf numFmtId="0" fontId="18" fillId="0" borderId="93" xfId="14" applyFont="1" applyBorder="1" applyAlignment="1">
      <alignment horizontal="left" wrapText="1"/>
    </xf>
    <xf numFmtId="164" fontId="17" fillId="0" borderId="94" xfId="15" applyNumberFormat="1" applyFont="1" applyBorder="1" applyAlignment="1">
      <alignment horizontal="right"/>
    </xf>
    <xf numFmtId="164" fontId="17" fillId="0" borderId="95" xfId="15" applyNumberFormat="1" applyFont="1" applyBorder="1" applyAlignment="1">
      <alignment horizontal="right"/>
    </xf>
    <xf numFmtId="164" fontId="17" fillId="0" borderId="96" xfId="15" applyNumberFormat="1" applyFont="1" applyBorder="1" applyAlignment="1">
      <alignment horizontal="right"/>
    </xf>
    <xf numFmtId="164" fontId="17" fillId="0" borderId="97" xfId="15" applyNumberFormat="1" applyFont="1" applyBorder="1" applyAlignment="1">
      <alignment horizontal="right"/>
    </xf>
    <xf numFmtId="0" fontId="17" fillId="0" borderId="92" xfId="14" applyFont="1" applyBorder="1" applyAlignment="1">
      <alignment horizontal="left" wrapText="1"/>
    </xf>
    <xf numFmtId="0" fontId="18" fillId="0" borderId="93" xfId="14" applyFont="1" applyBorder="1" applyAlignment="1">
      <alignment wrapText="1"/>
    </xf>
    <xf numFmtId="0" fontId="16" fillId="0" borderId="62" xfId="14" applyFont="1" applyBorder="1" applyAlignment="1">
      <alignment vertical="center" wrapText="1"/>
    </xf>
    <xf numFmtId="0" fontId="19" fillId="0" borderId="62" xfId="14" applyFont="1" applyBorder="1" applyAlignment="1">
      <alignment wrapText="1"/>
    </xf>
    <xf numFmtId="164" fontId="16" fillId="0" borderId="98" xfId="15" applyNumberFormat="1" applyFont="1" applyBorder="1" applyAlignment="1">
      <alignment horizontal="right"/>
    </xf>
    <xf numFmtId="164" fontId="16" fillId="0" borderId="99" xfId="15" applyNumberFormat="1" applyFont="1" applyBorder="1" applyAlignment="1">
      <alignment horizontal="right"/>
    </xf>
    <xf numFmtId="164" fontId="16" fillId="0" borderId="100" xfId="15" applyNumberFormat="1" applyFont="1" applyBorder="1" applyAlignment="1">
      <alignment horizontal="right"/>
    </xf>
    <xf numFmtId="164" fontId="16" fillId="0" borderId="101" xfId="15" applyNumberFormat="1" applyFont="1" applyBorder="1" applyAlignment="1">
      <alignment horizontal="right"/>
    </xf>
    <xf numFmtId="0" fontId="16" fillId="0" borderId="102" xfId="14" applyFont="1" applyBorder="1" applyAlignment="1">
      <alignment vertical="center" wrapText="1"/>
    </xf>
    <xf numFmtId="0" fontId="21" fillId="0" borderId="103" xfId="14" applyFont="1" applyBorder="1" applyAlignment="1">
      <alignment wrapText="1"/>
    </xf>
    <xf numFmtId="164" fontId="20" fillId="0" borderId="104" xfId="15" applyNumberFormat="1" applyFont="1" applyBorder="1" applyAlignment="1">
      <alignment horizontal="right"/>
    </xf>
    <xf numFmtId="164" fontId="20" fillId="0" borderId="105" xfId="15" applyNumberFormat="1" applyFont="1" applyBorder="1" applyAlignment="1">
      <alignment horizontal="right"/>
    </xf>
    <xf numFmtId="164" fontId="20" fillId="0" borderId="106" xfId="15" applyNumberFormat="1" applyFont="1" applyBorder="1" applyAlignment="1">
      <alignment horizontal="right"/>
    </xf>
    <xf numFmtId="164" fontId="20" fillId="0" borderId="107" xfId="15" applyNumberFormat="1" applyFont="1" applyBorder="1" applyAlignment="1">
      <alignment horizontal="right"/>
    </xf>
    <xf numFmtId="0" fontId="16" fillId="0" borderId="76" xfId="14" applyFont="1" applyBorder="1" applyAlignment="1">
      <alignment vertical="center" wrapText="1"/>
    </xf>
    <xf numFmtId="0" fontId="21" fillId="0" borderId="77" xfId="14" applyFont="1" applyBorder="1" applyAlignment="1">
      <alignment horizontal="left" wrapText="1" indent="4"/>
    </xf>
    <xf numFmtId="164" fontId="20" fillId="0" borderId="78" xfId="15" applyNumberFormat="1" applyFont="1" applyBorder="1" applyAlignment="1">
      <alignment horizontal="right"/>
    </xf>
    <xf numFmtId="164" fontId="20" fillId="0" borderId="79" xfId="15" applyNumberFormat="1" applyFont="1" applyBorder="1" applyAlignment="1">
      <alignment horizontal="right"/>
    </xf>
    <xf numFmtId="164" fontId="20" fillId="0" borderId="80" xfId="15" applyNumberFormat="1" applyFont="1" applyBorder="1" applyAlignment="1">
      <alignment horizontal="right"/>
    </xf>
    <xf numFmtId="164" fontId="20" fillId="0" borderId="81" xfId="15" applyNumberFormat="1" applyFont="1" applyBorder="1" applyAlignment="1">
      <alignment horizontal="right"/>
    </xf>
    <xf numFmtId="0" fontId="16" fillId="0" borderId="108" xfId="14" applyFont="1" applyBorder="1" applyAlignment="1">
      <alignment horizontal="left" wrapText="1"/>
    </xf>
    <xf numFmtId="0" fontId="19" fillId="0" borderId="73" xfId="14" applyFont="1" applyBorder="1" applyAlignment="1">
      <alignment wrapText="1"/>
    </xf>
    <xf numFmtId="0" fontId="16" fillId="0" borderId="109" xfId="14" applyFont="1" applyBorder="1" applyAlignment="1">
      <alignment horizontal="left" wrapText="1"/>
    </xf>
    <xf numFmtId="0" fontId="19" fillId="0" borderId="110" xfId="14" applyFont="1" applyBorder="1" applyAlignment="1">
      <alignment wrapText="1"/>
    </xf>
    <xf numFmtId="0" fontId="24" fillId="0" borderId="0" xfId="15"/>
    <xf numFmtId="0" fontId="8" fillId="6" borderId="13" xfId="0" applyFont="1" applyFill="1" applyBorder="1"/>
    <xf numFmtId="0" fontId="8" fillId="0" borderId="0" xfId="0" applyFont="1"/>
    <xf numFmtId="168" fontId="26" fillId="0" borderId="0" xfId="0" applyNumberFormat="1" applyFont="1"/>
    <xf numFmtId="9" fontId="31" fillId="0" borderId="0" xfId="16" applyFont="1"/>
    <xf numFmtId="0" fontId="3" fillId="0" borderId="0" xfId="0" applyNumberFormat="1" applyFont="1"/>
    <xf numFmtId="0" fontId="7" fillId="6" borderId="111" xfId="0" applyFont="1" applyFill="1" applyBorder="1" applyAlignment="1">
      <alignment horizontal="center" vertical="center" textRotation="90"/>
    </xf>
    <xf numFmtId="0" fontId="6" fillId="0" borderId="112" xfId="13" applyNumberFormat="1" applyFont="1" applyFill="1" applyBorder="1" applyAlignment="1" applyProtection="1">
      <alignment vertical="center" wrapText="1"/>
    </xf>
    <xf numFmtId="0" fontId="8" fillId="0" borderId="92" xfId="0" applyFont="1" applyBorder="1"/>
    <xf numFmtId="164" fontId="8" fillId="0" borderId="92" xfId="0" applyNumberFormat="1" applyFont="1" applyBorder="1"/>
    <xf numFmtId="164" fontId="8" fillId="0" borderId="92" xfId="0" applyNumberFormat="1" applyFont="1" applyFill="1" applyBorder="1"/>
    <xf numFmtId="0" fontId="3" fillId="0" borderId="92" xfId="0" applyFont="1" applyBorder="1"/>
    <xf numFmtId="164" fontId="3" fillId="0" borderId="92" xfId="0" applyNumberFormat="1" applyFont="1" applyBorder="1"/>
    <xf numFmtId="4" fontId="3" fillId="10" borderId="92" xfId="0" applyNumberFormat="1" applyFont="1" applyFill="1" applyBorder="1"/>
    <xf numFmtId="164" fontId="3" fillId="11" borderId="92" xfId="0" applyNumberFormat="1" applyFont="1" applyFill="1" applyBorder="1"/>
    <xf numFmtId="0" fontId="9" fillId="0" borderId="92" xfId="0" applyFont="1" applyBorder="1"/>
    <xf numFmtId="0" fontId="9" fillId="0" borderId="92" xfId="0" applyFont="1" applyBorder="1" applyAlignment="1">
      <alignment horizontal="left" indent="2"/>
    </xf>
    <xf numFmtId="164" fontId="9" fillId="0" borderId="92" xfId="0" applyNumberFormat="1" applyFont="1" applyBorder="1"/>
    <xf numFmtId="164" fontId="8" fillId="11" borderId="92" xfId="0" applyNumberFormat="1" applyFont="1" applyFill="1" applyBorder="1"/>
    <xf numFmtId="49" fontId="9" fillId="0" borderId="92" xfId="0" applyNumberFormat="1" applyFont="1" applyBorder="1"/>
    <xf numFmtId="0" fontId="10" fillId="6" borderId="92" xfId="0" applyFont="1" applyFill="1" applyBorder="1"/>
    <xf numFmtId="164" fontId="8" fillId="6" borderId="92" xfId="0" applyNumberFormat="1" applyFont="1" applyFill="1" applyBorder="1"/>
    <xf numFmtId="0" fontId="10" fillId="0" borderId="92" xfId="0" applyFont="1" applyBorder="1"/>
    <xf numFmtId="164" fontId="10" fillId="0" borderId="92" xfId="0" applyNumberFormat="1" applyFont="1" applyBorder="1"/>
    <xf numFmtId="164" fontId="3" fillId="8" borderId="92" xfId="0" applyNumberFormat="1" applyFont="1" applyFill="1" applyBorder="1"/>
    <xf numFmtId="164" fontId="3" fillId="0" borderId="92" xfId="0" applyNumberFormat="1" applyFont="1" applyFill="1" applyBorder="1"/>
    <xf numFmtId="164" fontId="10" fillId="0" borderId="92" xfId="0" applyNumberFormat="1" applyFont="1" applyFill="1" applyBorder="1"/>
    <xf numFmtId="164" fontId="10" fillId="6" borderId="92" xfId="0" applyNumberFormat="1" applyFont="1" applyFill="1" applyBorder="1"/>
    <xf numFmtId="0" fontId="3" fillId="0" borderId="92" xfId="0" applyFont="1" applyFill="1" applyBorder="1"/>
    <xf numFmtId="0" fontId="5" fillId="6" borderId="92" xfId="0" applyFont="1" applyFill="1" applyBorder="1"/>
    <xf numFmtId="164" fontId="5" fillId="6" borderId="92" xfId="0" applyNumberFormat="1" applyFont="1" applyFill="1" applyBorder="1"/>
    <xf numFmtId="0" fontId="11" fillId="6" borderId="92" xfId="0" applyFont="1" applyFill="1" applyBorder="1"/>
    <xf numFmtId="164" fontId="11" fillId="6" borderId="92" xfId="0" applyNumberFormat="1" applyFont="1" applyFill="1" applyBorder="1"/>
    <xf numFmtId="0" fontId="5" fillId="0" borderId="92" xfId="0" applyFont="1" applyBorder="1"/>
    <xf numFmtId="0" fontId="5" fillId="0" borderId="92" xfId="0" applyFont="1" applyFill="1" applyBorder="1"/>
    <xf numFmtId="164" fontId="5" fillId="0" borderId="92" xfId="0" applyNumberFormat="1" applyFont="1" applyFill="1" applyBorder="1"/>
    <xf numFmtId="0" fontId="12" fillId="12" borderId="92" xfId="0" applyFont="1" applyFill="1" applyBorder="1"/>
    <xf numFmtId="0" fontId="13" fillId="12" borderId="92" xfId="0" applyFont="1" applyFill="1" applyBorder="1" applyAlignment="1">
      <alignment horizontal="left" indent="3"/>
    </xf>
    <xf numFmtId="164" fontId="13" fillId="12" borderId="92" xfId="0" applyNumberFormat="1" applyFont="1" applyFill="1" applyBorder="1"/>
    <xf numFmtId="164" fontId="13" fillId="8" borderId="92" xfId="0" applyNumberFormat="1" applyFont="1" applyFill="1" applyBorder="1"/>
    <xf numFmtId="164" fontId="3" fillId="12" borderId="92" xfId="0" applyNumberFormat="1" applyFont="1" applyFill="1" applyBorder="1"/>
    <xf numFmtId="164" fontId="3" fillId="13" borderId="92" xfId="0" applyNumberFormat="1" applyFont="1" applyFill="1" applyBorder="1"/>
    <xf numFmtId="165" fontId="13" fillId="0" borderId="92" xfId="0" applyNumberFormat="1" applyFont="1" applyFill="1" applyBorder="1"/>
    <xf numFmtId="164" fontId="5" fillId="11" borderId="92" xfId="0" applyNumberFormat="1" applyFont="1" applyFill="1" applyBorder="1"/>
    <xf numFmtId="164" fontId="13" fillId="14" borderId="92" xfId="0" applyNumberFormat="1" applyFont="1" applyFill="1" applyBorder="1"/>
    <xf numFmtId="164" fontId="10" fillId="0" borderId="92" xfId="0" applyNumberFormat="1" applyFont="1" applyFill="1" applyBorder="1" applyAlignment="1">
      <alignment horizontal="right"/>
    </xf>
    <xf numFmtId="164" fontId="9" fillId="0" borderId="92" xfId="0" applyNumberFormat="1" applyFont="1" applyFill="1" applyBorder="1"/>
    <xf numFmtId="164" fontId="9" fillId="11" borderId="92" xfId="0" applyNumberFormat="1" applyFont="1" applyFill="1" applyBorder="1"/>
    <xf numFmtId="0" fontId="9" fillId="0" borderId="92" xfId="0" applyFont="1" applyBorder="1" applyAlignment="1"/>
    <xf numFmtId="0" fontId="14" fillId="0" borderId="92" xfId="0" applyFont="1" applyBorder="1" applyAlignment="1">
      <alignment vertical="center"/>
    </xf>
    <xf numFmtId="0" fontId="14" fillId="0" borderId="92" xfId="0" applyFont="1" applyBorder="1"/>
    <xf numFmtId="164" fontId="14" fillId="0" borderId="92" xfId="0" applyNumberFormat="1" applyFont="1" applyFill="1" applyBorder="1"/>
    <xf numFmtId="0" fontId="10" fillId="0" borderId="92" xfId="0" applyFont="1" applyBorder="1" applyAlignment="1">
      <alignment vertical="center"/>
    </xf>
    <xf numFmtId="0" fontId="9" fillId="7" borderId="92" xfId="0" applyFont="1" applyFill="1" applyBorder="1" applyAlignment="1">
      <alignment vertical="center"/>
    </xf>
    <xf numFmtId="0" fontId="9" fillId="7" borderId="92" xfId="0" applyFont="1" applyFill="1" applyBorder="1"/>
    <xf numFmtId="164" fontId="9" fillId="7" borderId="92" xfId="0" applyNumberFormat="1" applyFont="1" applyFill="1" applyBorder="1"/>
    <xf numFmtId="0" fontId="9" fillId="0" borderId="92" xfId="0" applyNumberFormat="1" applyFont="1" applyBorder="1" applyAlignment="1">
      <alignment horizontal="left"/>
    </xf>
    <xf numFmtId="166" fontId="9" fillId="0" borderId="92" xfId="0" applyNumberFormat="1" applyFont="1" applyBorder="1"/>
    <xf numFmtId="0" fontId="9" fillId="7" borderId="92" xfId="0" applyNumberFormat="1" applyFont="1" applyFill="1" applyBorder="1" applyAlignment="1">
      <alignment horizontal="left"/>
    </xf>
    <xf numFmtId="49" fontId="9" fillId="7" borderId="92" xfId="0" applyNumberFormat="1" applyFont="1" applyFill="1" applyBorder="1" applyAlignment="1">
      <alignment horizontal="left"/>
    </xf>
    <xf numFmtId="49" fontId="9" fillId="0" borderId="92" xfId="0" applyNumberFormat="1" applyFont="1" applyBorder="1" applyAlignment="1">
      <alignment horizontal="left"/>
    </xf>
    <xf numFmtId="0" fontId="8" fillId="6" borderId="92" xfId="0" applyFont="1" applyFill="1" applyBorder="1"/>
    <xf numFmtId="164" fontId="8" fillId="0" borderId="92" xfId="0" applyNumberFormat="1" applyFont="1" applyFill="1" applyBorder="1" applyAlignment="1">
      <alignment horizontal="right"/>
    </xf>
    <xf numFmtId="0" fontId="8" fillId="0" borderId="92" xfId="0" applyFont="1" applyBorder="1" applyAlignment="1">
      <alignment vertical="center"/>
    </xf>
    <xf numFmtId="4" fontId="3" fillId="15" borderId="92" xfId="0" applyNumberFormat="1" applyFont="1" applyFill="1" applyBorder="1"/>
    <xf numFmtId="164" fontId="3" fillId="16" borderId="92" xfId="0" applyNumberFormat="1" applyFont="1" applyFill="1" applyBorder="1"/>
    <xf numFmtId="164" fontId="9" fillId="17" borderId="92" xfId="0" applyNumberFormat="1" applyFont="1" applyFill="1" applyBorder="1"/>
    <xf numFmtId="164" fontId="30" fillId="4" borderId="92" xfId="15" applyNumberFormat="1" applyFont="1" applyFill="1" applyBorder="1"/>
    <xf numFmtId="165" fontId="24" fillId="0" borderId="0" xfId="15" applyNumberFormat="1"/>
    <xf numFmtId="4" fontId="3" fillId="4" borderId="92" xfId="0" applyNumberFormat="1" applyFont="1" applyFill="1" applyBorder="1"/>
    <xf numFmtId="166" fontId="9" fillId="10" borderId="92" xfId="0" applyNumberFormat="1" applyFont="1" applyFill="1" applyBorder="1" applyAlignment="1">
      <alignment horizontal="right"/>
    </xf>
    <xf numFmtId="0" fontId="6" fillId="0" borderId="113" xfId="14" applyNumberFormat="1" applyFont="1" applyFill="1" applyBorder="1" applyAlignment="1" applyProtection="1">
      <alignment vertical="center" wrapText="1"/>
    </xf>
    <xf numFmtId="0" fontId="29" fillId="0" borderId="92" xfId="15" applyFont="1" applyBorder="1"/>
    <xf numFmtId="164" fontId="29" fillId="0" borderId="92" xfId="15" applyNumberFormat="1" applyFont="1" applyBorder="1"/>
    <xf numFmtId="164" fontId="29" fillId="0" borderId="92" xfId="15" applyNumberFormat="1" applyFont="1" applyFill="1" applyBorder="1"/>
    <xf numFmtId="0" fontId="26" fillId="0" borderId="92" xfId="15" applyFont="1" applyBorder="1"/>
    <xf numFmtId="164" fontId="26" fillId="0" borderId="92" xfId="15" applyNumberFormat="1" applyFont="1" applyBorder="1"/>
    <xf numFmtId="164" fontId="26" fillId="15" borderId="92" xfId="15" applyNumberFormat="1" applyFont="1" applyFill="1" applyBorder="1"/>
    <xf numFmtId="0" fontId="9" fillId="0" borderId="92" xfId="15" applyFont="1" applyBorder="1"/>
    <xf numFmtId="0" fontId="9" fillId="0" borderId="92" xfId="15" applyFont="1" applyBorder="1" applyAlignment="1">
      <alignment horizontal="left" indent="2"/>
    </xf>
    <xf numFmtId="164" fontId="9" fillId="0" borderId="92" xfId="15" applyNumberFormat="1" applyFont="1" applyBorder="1"/>
    <xf numFmtId="164" fontId="9" fillId="15" borderId="92" xfId="15" applyNumberFormat="1" applyFont="1" applyFill="1" applyBorder="1"/>
    <xf numFmtId="164" fontId="29" fillId="15" borderId="92" xfId="15" applyNumberFormat="1" applyFont="1" applyFill="1" applyBorder="1"/>
    <xf numFmtId="49" fontId="9" fillId="0" borderId="92" xfId="15" applyNumberFormat="1" applyFont="1" applyBorder="1"/>
    <xf numFmtId="0" fontId="8" fillId="9" borderId="92" xfId="15" applyFont="1" applyFill="1" applyBorder="1"/>
    <xf numFmtId="164" fontId="29" fillId="9" borderId="92" xfId="15" applyNumberFormat="1" applyFont="1" applyFill="1" applyBorder="1"/>
    <xf numFmtId="0" fontId="8" fillId="0" borderId="92" xfId="15" applyFont="1" applyBorder="1"/>
    <xf numFmtId="164" fontId="8" fillId="0" borderId="92" xfId="15" applyNumberFormat="1" applyFont="1" applyBorder="1"/>
    <xf numFmtId="164" fontId="26" fillId="18" borderId="92" xfId="15" applyNumberFormat="1" applyFont="1" applyFill="1" applyBorder="1"/>
    <xf numFmtId="164" fontId="26" fillId="0" borderId="92" xfId="15" applyNumberFormat="1" applyFont="1" applyFill="1" applyBorder="1"/>
    <xf numFmtId="164" fontId="8" fillId="0" borderId="92" xfId="15" applyNumberFormat="1" applyFont="1" applyFill="1" applyBorder="1"/>
    <xf numFmtId="164" fontId="8" fillId="9" borderId="92" xfId="15" applyNumberFormat="1" applyFont="1" applyFill="1" applyBorder="1"/>
    <xf numFmtId="0" fontId="3" fillId="0" borderId="92" xfId="15" applyFont="1" applyBorder="1"/>
    <xf numFmtId="164" fontId="3" fillId="0" borderId="92" xfId="15" applyNumberFormat="1" applyFont="1" applyBorder="1"/>
    <xf numFmtId="164" fontId="3" fillId="0" borderId="92" xfId="15" applyNumberFormat="1" applyFont="1" applyFill="1" applyBorder="1"/>
    <xf numFmtId="164" fontId="3" fillId="18" borderId="92" xfId="15" applyNumberFormat="1" applyFont="1" applyFill="1" applyBorder="1"/>
    <xf numFmtId="0" fontId="3" fillId="0" borderId="92" xfId="15" applyFont="1" applyFill="1" applyBorder="1"/>
    <xf numFmtId="0" fontId="27" fillId="9" borderId="92" xfId="15" applyFont="1" applyFill="1" applyBorder="1"/>
    <xf numFmtId="0" fontId="11" fillId="9" borderId="92" xfId="15" applyFont="1" applyFill="1" applyBorder="1"/>
    <xf numFmtId="0" fontId="27" fillId="0" borderId="92" xfId="15" applyFont="1" applyBorder="1"/>
    <xf numFmtId="0" fontId="27" fillId="0" borderId="92" xfId="15" applyFont="1" applyFill="1" applyBorder="1"/>
    <xf numFmtId="164" fontId="27" fillId="0" borderId="92" xfId="15" applyNumberFormat="1" applyFont="1" applyFill="1" applyBorder="1"/>
    <xf numFmtId="164" fontId="27" fillId="10" borderId="92" xfId="15" applyNumberFormat="1" applyFont="1" applyFill="1" applyBorder="1"/>
    <xf numFmtId="164" fontId="32" fillId="10" borderId="92" xfId="15" applyNumberFormat="1" applyFont="1" applyFill="1" applyBorder="1"/>
    <xf numFmtId="0" fontId="12" fillId="4" borderId="92" xfId="15" applyFont="1" applyFill="1" applyBorder="1"/>
    <xf numFmtId="0" fontId="13" fillId="4" borderId="92" xfId="15" applyFont="1" applyFill="1" applyBorder="1" applyAlignment="1">
      <alignment horizontal="left" indent="3"/>
    </xf>
    <xf numFmtId="164" fontId="13" fillId="4" borderId="92" xfId="15" applyNumberFormat="1" applyFont="1" applyFill="1" applyBorder="1"/>
    <xf numFmtId="164" fontId="13" fillId="18" borderId="92" xfId="15" applyNumberFormat="1" applyFont="1" applyFill="1" applyBorder="1"/>
    <xf numFmtId="164" fontId="3" fillId="4" borderId="92" xfId="15" applyNumberFormat="1" applyFont="1" applyFill="1" applyBorder="1"/>
    <xf numFmtId="165" fontId="30" fillId="0" borderId="92" xfId="15" applyNumberFormat="1" applyFont="1" applyFill="1" applyBorder="1"/>
    <xf numFmtId="164" fontId="30" fillId="10" borderId="92" xfId="15" applyNumberFormat="1" applyFont="1" applyFill="1" applyBorder="1"/>
    <xf numFmtId="164" fontId="30" fillId="18" borderId="92" xfId="15" applyNumberFormat="1" applyFont="1" applyFill="1" applyBorder="1"/>
    <xf numFmtId="164" fontId="3" fillId="15" borderId="92" xfId="15" applyNumberFormat="1" applyFont="1" applyFill="1" applyBorder="1"/>
    <xf numFmtId="4" fontId="5" fillId="11" borderId="92" xfId="0" applyNumberFormat="1" applyFont="1" applyFill="1" applyBorder="1"/>
    <xf numFmtId="4" fontId="8" fillId="0" borderId="92" xfId="15" applyNumberFormat="1" applyFont="1" applyFill="1" applyBorder="1"/>
    <xf numFmtId="4" fontId="8" fillId="0" borderId="92" xfId="15" applyNumberFormat="1" applyFont="1" applyFill="1" applyBorder="1" applyAlignment="1">
      <alignment horizontal="right"/>
    </xf>
    <xf numFmtId="164" fontId="23" fillId="15" borderId="92" xfId="15" applyNumberFormat="1" applyFont="1" applyFill="1" applyBorder="1" applyAlignment="1">
      <alignment horizontal="right"/>
    </xf>
    <xf numFmtId="164" fontId="23" fillId="10" borderId="92" xfId="15" applyNumberFormat="1" applyFont="1" applyFill="1" applyBorder="1" applyAlignment="1">
      <alignment horizontal="right"/>
    </xf>
    <xf numFmtId="164" fontId="9" fillId="10" borderId="92" xfId="15" applyNumberFormat="1" applyFont="1" applyFill="1" applyBorder="1"/>
    <xf numFmtId="164" fontId="23" fillId="10" borderId="92" xfId="15" applyNumberFormat="1" applyFont="1" applyFill="1" applyBorder="1"/>
    <xf numFmtId="166" fontId="8" fillId="0" borderId="92" xfId="15" applyNumberFormat="1" applyFont="1" applyFill="1" applyBorder="1" applyAlignment="1">
      <alignment horizontal="right"/>
    </xf>
    <xf numFmtId="0" fontId="9" fillId="0" borderId="92" xfId="15" applyFont="1" applyBorder="1" applyAlignment="1"/>
    <xf numFmtId="0" fontId="14" fillId="0" borderId="92" xfId="15" applyFont="1" applyBorder="1" applyAlignment="1">
      <alignment vertical="center"/>
    </xf>
    <xf numFmtId="0" fontId="14" fillId="0" borderId="92" xfId="15" applyFont="1" applyBorder="1"/>
    <xf numFmtId="164" fontId="14" fillId="0" borderId="92" xfId="15" applyNumberFormat="1" applyFont="1" applyFill="1" applyBorder="1"/>
    <xf numFmtId="0" fontId="8" fillId="0" borderId="92" xfId="15" applyFont="1" applyBorder="1" applyAlignment="1">
      <alignment vertical="center"/>
    </xf>
    <xf numFmtId="0" fontId="9" fillId="19" borderId="92" xfId="15" applyFont="1" applyFill="1" applyBorder="1" applyAlignment="1">
      <alignment vertical="center"/>
    </xf>
    <xf numFmtId="0" fontId="9" fillId="19" borderId="92" xfId="15" applyFont="1" applyFill="1" applyBorder="1"/>
    <xf numFmtId="164" fontId="9" fillId="19" borderId="92" xfId="15" applyNumberFormat="1" applyFont="1" applyFill="1" applyBorder="1"/>
    <xf numFmtId="0" fontId="9" fillId="0" borderId="92" xfId="15" applyNumberFormat="1" applyFont="1" applyBorder="1" applyAlignment="1">
      <alignment horizontal="left"/>
    </xf>
    <xf numFmtId="166" fontId="9" fillId="0" borderId="92" xfId="15" applyNumberFormat="1" applyFont="1" applyBorder="1"/>
    <xf numFmtId="0" fontId="9" fillId="19" borderId="92" xfId="15" applyNumberFormat="1" applyFont="1" applyFill="1" applyBorder="1" applyAlignment="1">
      <alignment horizontal="left"/>
    </xf>
    <xf numFmtId="0" fontId="23" fillId="19" borderId="92" xfId="15" applyFont="1" applyFill="1" applyBorder="1"/>
    <xf numFmtId="49" fontId="9" fillId="19" borderId="92" xfId="15" applyNumberFormat="1" applyFont="1" applyFill="1" applyBorder="1" applyAlignment="1">
      <alignment horizontal="left"/>
    </xf>
    <xf numFmtId="49" fontId="9" fillId="0" borderId="92" xfId="15" applyNumberFormat="1" applyFont="1" applyBorder="1" applyAlignment="1">
      <alignment horizontal="left"/>
    </xf>
    <xf numFmtId="0" fontId="23" fillId="0" borderId="92" xfId="15" applyFont="1" applyBorder="1"/>
    <xf numFmtId="164" fontId="3" fillId="11" borderId="13" xfId="0" applyNumberFormat="1" applyFont="1" applyFill="1" applyBorder="1"/>
    <xf numFmtId="164" fontId="3" fillId="0" borderId="13" xfId="0" applyNumberFormat="1" applyFont="1" applyFill="1" applyBorder="1"/>
    <xf numFmtId="164" fontId="5" fillId="0" borderId="13" xfId="0" applyNumberFormat="1" applyFont="1" applyFill="1" applyBorder="1"/>
    <xf numFmtId="164" fontId="5" fillId="11" borderId="13" xfId="0" applyNumberFormat="1" applyFont="1" applyFill="1" applyBorder="1"/>
    <xf numFmtId="164" fontId="13" fillId="12" borderId="13" xfId="0" applyNumberFormat="1" applyFont="1" applyFill="1" applyBorder="1"/>
    <xf numFmtId="164" fontId="13" fillId="8" borderId="13" xfId="0" applyNumberFormat="1" applyFont="1" applyFill="1" applyBorder="1"/>
    <xf numFmtId="164" fontId="3" fillId="12" borderId="13" xfId="0" applyNumberFormat="1" applyFont="1" applyFill="1" applyBorder="1"/>
    <xf numFmtId="165" fontId="13" fillId="0" borderId="13" xfId="0" applyNumberFormat="1" applyFont="1" applyFill="1" applyBorder="1"/>
    <xf numFmtId="164" fontId="14" fillId="0" borderId="13" xfId="0" applyNumberFormat="1" applyFont="1" applyFill="1" applyBorder="1"/>
    <xf numFmtId="170" fontId="3" fillId="0" borderId="0" xfId="0" applyNumberFormat="1" applyFont="1"/>
    <xf numFmtId="2" fontId="9" fillId="17" borderId="92" xfId="0" applyNumberFormat="1" applyFont="1" applyFill="1" applyBorder="1"/>
    <xf numFmtId="4" fontId="3" fillId="0" borderId="0" xfId="0" applyNumberFormat="1" applyFont="1"/>
    <xf numFmtId="164" fontId="13" fillId="20" borderId="92" xfId="0" applyNumberFormat="1" applyFont="1" applyFill="1" applyBorder="1"/>
    <xf numFmtId="164" fontId="13" fillId="21" borderId="92" xfId="0" applyNumberFormat="1" applyFont="1" applyFill="1" applyBorder="1"/>
    <xf numFmtId="164" fontId="3" fillId="0" borderId="0" xfId="0" applyNumberFormat="1" applyFont="1"/>
    <xf numFmtId="4" fontId="8" fillId="0" borderId="92" xfId="0" applyNumberFormat="1" applyFont="1" applyFill="1" applyBorder="1"/>
    <xf numFmtId="4" fontId="3" fillId="11" borderId="92" xfId="0" applyNumberFormat="1" applyFont="1" applyFill="1" applyBorder="1"/>
    <xf numFmtId="4" fontId="3" fillId="0" borderId="92" xfId="0" applyNumberFormat="1" applyFont="1" applyFill="1" applyBorder="1"/>
    <xf numFmtId="4" fontId="5" fillId="0" borderId="92" xfId="0" applyNumberFormat="1" applyFont="1" applyFill="1" applyBorder="1"/>
    <xf numFmtId="4" fontId="13" fillId="12" borderId="92" xfId="0" applyNumberFormat="1" applyFont="1" applyFill="1" applyBorder="1"/>
    <xf numFmtId="4" fontId="13" fillId="8" borderId="92" xfId="0" applyNumberFormat="1" applyFont="1" applyFill="1" applyBorder="1"/>
    <xf numFmtId="4" fontId="3" fillId="12" borderId="92" xfId="0" applyNumberFormat="1" applyFont="1" applyFill="1" applyBorder="1"/>
    <xf numFmtId="4" fontId="3" fillId="16" borderId="92" xfId="0" applyNumberFormat="1" applyFont="1" applyFill="1" applyBorder="1"/>
    <xf numFmtId="4" fontId="13" fillId="0" borderId="92" xfId="0" applyNumberFormat="1" applyFont="1" applyFill="1" applyBorder="1"/>
    <xf numFmtId="4" fontId="13" fillId="21" borderId="92" xfId="0" applyNumberFormat="1" applyFont="1" applyFill="1" applyBorder="1"/>
    <xf numFmtId="165" fontId="3" fillId="0" borderId="92" xfId="0" applyNumberFormat="1" applyFont="1" applyBorder="1"/>
    <xf numFmtId="164" fontId="26" fillId="10" borderId="92" xfId="15" applyNumberFormat="1" applyFont="1" applyFill="1" applyBorder="1"/>
    <xf numFmtId="164" fontId="3" fillId="10" borderId="92" xfId="0" applyNumberFormat="1" applyFont="1" applyFill="1" applyBorder="1"/>
    <xf numFmtId="165" fontId="14" fillId="0" borderId="92" xfId="0" applyNumberFormat="1" applyFont="1" applyFill="1" applyBorder="1"/>
    <xf numFmtId="164" fontId="5" fillId="16" borderId="13" xfId="0" applyNumberFormat="1" applyFont="1" applyFill="1" applyBorder="1"/>
    <xf numFmtId="164" fontId="13" fillId="21" borderId="13" xfId="0" applyNumberFormat="1" applyFont="1" applyFill="1" applyBorder="1"/>
    <xf numFmtId="4" fontId="27" fillId="10" borderId="92" xfId="0" applyNumberFormat="1" applyFont="1" applyFill="1" applyBorder="1"/>
    <xf numFmtId="4" fontId="5" fillId="16" borderId="92" xfId="0" applyNumberFormat="1" applyFont="1" applyFill="1" applyBorder="1"/>
    <xf numFmtId="164" fontId="3" fillId="10" borderId="92" xfId="15" applyNumberFormat="1" applyFont="1" applyFill="1" applyBorder="1"/>
    <xf numFmtId="166" fontId="9" fillId="10" borderId="92" xfId="15" applyNumberFormat="1" applyFont="1" applyFill="1" applyBorder="1" applyAlignment="1">
      <alignment horizontal="right"/>
    </xf>
    <xf numFmtId="2" fontId="33" fillId="0" borderId="0" xfId="15" applyNumberFormat="1" applyFont="1"/>
    <xf numFmtId="164" fontId="13" fillId="20" borderId="13" xfId="0" applyNumberFormat="1" applyFont="1" applyFill="1" applyBorder="1"/>
    <xf numFmtId="164" fontId="27" fillId="10" borderId="92" xfId="0" applyNumberFormat="1" applyFont="1" applyFill="1" applyBorder="1"/>
    <xf numFmtId="2" fontId="9" fillId="19" borderId="92" xfId="17" applyNumberFormat="1" applyFont="1" applyFill="1" applyBorder="1"/>
    <xf numFmtId="2" fontId="8" fillId="0" borderId="92" xfId="15" applyNumberFormat="1" applyFont="1" applyFill="1" applyBorder="1"/>
    <xf numFmtId="2" fontId="9" fillId="0" borderId="92" xfId="17" applyNumberFormat="1" applyFont="1" applyBorder="1"/>
    <xf numFmtId="168" fontId="33" fillId="0" borderId="0" xfId="15" applyNumberFormat="1" applyFont="1"/>
    <xf numFmtId="10" fontId="31" fillId="0" borderId="0" xfId="16" applyNumberFormat="1"/>
    <xf numFmtId="164" fontId="5" fillId="16" borderId="92" xfId="0" applyNumberFormat="1" applyFont="1" applyFill="1" applyBorder="1"/>
    <xf numFmtId="164" fontId="27" fillId="0" borderId="92" xfId="0" applyNumberFormat="1" applyFont="1" applyFill="1" applyBorder="1"/>
    <xf numFmtId="4" fontId="29" fillId="0" borderId="92" xfId="15" applyNumberFormat="1" applyFont="1" applyBorder="1"/>
    <xf numFmtId="4" fontId="29" fillId="0" borderId="92" xfId="15" applyNumberFormat="1" applyFont="1" applyFill="1" applyBorder="1"/>
    <xf numFmtId="4" fontId="26" fillId="0" borderId="92" xfId="15" applyNumberFormat="1" applyFont="1" applyBorder="1"/>
    <xf numFmtId="4" fontId="26" fillId="15" borderId="92" xfId="15" applyNumberFormat="1" applyFont="1" applyFill="1" applyBorder="1"/>
    <xf numFmtId="4" fontId="26" fillId="10" borderId="92" xfId="15" applyNumberFormat="1" applyFont="1" applyFill="1" applyBorder="1"/>
    <xf numFmtId="4" fontId="9" fillId="0" borderId="92" xfId="15" applyNumberFormat="1" applyFont="1" applyBorder="1"/>
    <xf numFmtId="4" fontId="9" fillId="15" borderId="92" xfId="15" applyNumberFormat="1" applyFont="1" applyFill="1" applyBorder="1"/>
    <xf numFmtId="4" fontId="29" fillId="15" borderId="92" xfId="15" applyNumberFormat="1" applyFont="1" applyFill="1" applyBorder="1"/>
    <xf numFmtId="4" fontId="9" fillId="10" borderId="92" xfId="15" applyNumberFormat="1" applyFont="1" applyFill="1" applyBorder="1"/>
    <xf numFmtId="4" fontId="29" fillId="9" borderId="92" xfId="15" applyNumberFormat="1" applyFont="1" applyFill="1" applyBorder="1"/>
    <xf numFmtId="4" fontId="8" fillId="0" borderId="92" xfId="15" applyNumberFormat="1" applyFont="1" applyBorder="1"/>
    <xf numFmtId="4" fontId="26" fillId="18" borderId="92" xfId="15" applyNumberFormat="1" applyFont="1" applyFill="1" applyBorder="1"/>
    <xf numFmtId="4" fontId="26" fillId="0" borderId="92" xfId="15" applyNumberFormat="1" applyFont="1" applyFill="1" applyBorder="1"/>
    <xf numFmtId="4" fontId="8" fillId="9" borderId="92" xfId="15" applyNumberFormat="1" applyFont="1" applyFill="1" applyBorder="1"/>
    <xf numFmtId="4" fontId="3" fillId="0" borderId="92" xfId="15" applyNumberFormat="1" applyFont="1" applyBorder="1"/>
    <xf numFmtId="4" fontId="3" fillId="0" borderId="92" xfId="15" applyNumberFormat="1" applyFont="1" applyFill="1" applyBorder="1"/>
    <xf numFmtId="4" fontId="3" fillId="18" borderId="92" xfId="15" applyNumberFormat="1" applyFont="1" applyFill="1" applyBorder="1"/>
    <xf numFmtId="4" fontId="27" fillId="0" borderId="92" xfId="15" applyNumberFormat="1" applyFont="1" applyFill="1" applyBorder="1"/>
    <xf numFmtId="4" fontId="27" fillId="10" borderId="92" xfId="15" applyNumberFormat="1" applyFont="1" applyFill="1" applyBorder="1"/>
    <xf numFmtId="4" fontId="13" fillId="4" borderId="92" xfId="15" applyNumberFormat="1" applyFont="1" applyFill="1" applyBorder="1"/>
    <xf numFmtId="4" fontId="13" fillId="18" borderId="92" xfId="15" applyNumberFormat="1" applyFont="1" applyFill="1" applyBorder="1"/>
    <xf numFmtId="4" fontId="13" fillId="21" borderId="13" xfId="0" applyNumberFormat="1" applyFont="1" applyFill="1" applyBorder="1"/>
    <xf numFmtId="4" fontId="30" fillId="0" borderId="92" xfId="15" applyNumberFormat="1" applyFont="1" applyFill="1" applyBorder="1"/>
    <xf numFmtId="4" fontId="30" fillId="10" borderId="92" xfId="15" applyNumberFormat="1" applyFont="1" applyFill="1" applyBorder="1"/>
    <xf numFmtId="4" fontId="30" fillId="4" borderId="92" xfId="15" applyNumberFormat="1" applyFont="1" applyFill="1" applyBorder="1"/>
    <xf numFmtId="4" fontId="30" fillId="18" borderId="92" xfId="15" applyNumberFormat="1" applyFont="1" applyFill="1" applyBorder="1"/>
    <xf numFmtId="4" fontId="13" fillId="14" borderId="92" xfId="0" applyNumberFormat="1" applyFont="1" applyFill="1" applyBorder="1"/>
    <xf numFmtId="4" fontId="14" fillId="0" borderId="92" xfId="15" applyNumberFormat="1" applyFont="1" applyFill="1" applyBorder="1"/>
    <xf numFmtId="4" fontId="13" fillId="22" borderId="92" xfId="0" applyNumberFormat="1" applyFont="1" applyFill="1" applyBorder="1"/>
    <xf numFmtId="165" fontId="13" fillId="12" borderId="92" xfId="0" applyNumberFormat="1" applyFont="1" applyFill="1" applyBorder="1"/>
    <xf numFmtId="165" fontId="13" fillId="8" borderId="92" xfId="0" applyNumberFormat="1" applyFont="1" applyFill="1" applyBorder="1"/>
    <xf numFmtId="164" fontId="13" fillId="22" borderId="92" xfId="0" applyNumberFormat="1" applyFont="1" applyFill="1" applyBorder="1"/>
    <xf numFmtId="4" fontId="3" fillId="10" borderId="92" xfId="15" applyNumberFormat="1" applyFont="1" applyFill="1" applyBorder="1"/>
    <xf numFmtId="164" fontId="3" fillId="10" borderId="0" xfId="15" applyNumberFormat="1" applyFont="1" applyFill="1"/>
    <xf numFmtId="164" fontId="8" fillId="0" borderId="92" xfId="15" applyNumberFormat="1" applyFont="1" applyFill="1" applyBorder="1" applyAlignment="1">
      <alignment horizontal="right"/>
    </xf>
    <xf numFmtId="165" fontId="3" fillId="4" borderId="92" xfId="15" applyNumberFormat="1" applyFont="1" applyFill="1" applyBorder="1"/>
    <xf numFmtId="168" fontId="33" fillId="0" borderId="0" xfId="0" applyNumberFormat="1" applyFont="1"/>
    <xf numFmtId="2" fontId="33" fillId="0" borderId="0" xfId="0" applyNumberFormat="1" applyFont="1"/>
    <xf numFmtId="0" fontId="12" fillId="4" borderId="88" xfId="15" applyFont="1" applyFill="1" applyBorder="1"/>
    <xf numFmtId="0" fontId="13" fillId="4" borderId="88" xfId="15" applyFont="1" applyFill="1" applyBorder="1" applyAlignment="1">
      <alignment horizontal="left" indent="3"/>
    </xf>
    <xf numFmtId="164" fontId="13" fillId="4" borderId="88" xfId="15" applyNumberFormat="1" applyFont="1" applyFill="1" applyBorder="1"/>
    <xf numFmtId="164" fontId="30" fillId="18" borderId="88" xfId="15" applyNumberFormat="1" applyFont="1" applyFill="1" applyBorder="1"/>
    <xf numFmtId="164" fontId="30" fillId="4" borderId="88" xfId="15" applyNumberFormat="1" applyFont="1" applyFill="1" applyBorder="1"/>
    <xf numFmtId="164" fontId="13" fillId="18" borderId="88" xfId="15" applyNumberFormat="1" applyFont="1" applyFill="1" applyBorder="1"/>
    <xf numFmtId="0" fontId="12" fillId="4" borderId="13" xfId="15" applyFont="1" applyFill="1" applyBorder="1"/>
    <xf numFmtId="0" fontId="13" fillId="4" borderId="13" xfId="15" applyFont="1" applyFill="1" applyBorder="1" applyAlignment="1">
      <alignment horizontal="left" indent="3"/>
    </xf>
    <xf numFmtId="164" fontId="13" fillId="4" borderId="13" xfId="15" applyNumberFormat="1" applyFont="1" applyFill="1" applyBorder="1"/>
    <xf numFmtId="164" fontId="13" fillId="18" borderId="13" xfId="15" applyNumberFormat="1" applyFont="1" applyFill="1" applyBorder="1"/>
    <xf numFmtId="0" fontId="3" fillId="0" borderId="13" xfId="15" applyFont="1" applyBorder="1"/>
    <xf numFmtId="164" fontId="3" fillId="0" borderId="13" xfId="15" applyNumberFormat="1" applyFont="1" applyFill="1" applyBorder="1"/>
    <xf numFmtId="164" fontId="3" fillId="10" borderId="13" xfId="15" applyNumberFormat="1" applyFont="1" applyFill="1" applyBorder="1"/>
    <xf numFmtId="164" fontId="3" fillId="15" borderId="13" xfId="15" applyNumberFormat="1" applyFont="1" applyFill="1" applyBorder="1"/>
    <xf numFmtId="0" fontId="5" fillId="0" borderId="13" xfId="0" applyFont="1" applyBorder="1"/>
    <xf numFmtId="0" fontId="5" fillId="0" borderId="13" xfId="0" applyFont="1" applyFill="1" applyBorder="1"/>
    <xf numFmtId="0" fontId="3" fillId="0" borderId="13" xfId="0" applyFont="1" applyBorder="1"/>
    <xf numFmtId="0" fontId="12" fillId="12" borderId="13" xfId="0" applyFont="1" applyFill="1" applyBorder="1"/>
    <xf numFmtId="0" fontId="13" fillId="12" borderId="13" xfId="0" applyFont="1" applyFill="1" applyBorder="1" applyAlignment="1">
      <alignment horizontal="left" indent="3"/>
    </xf>
    <xf numFmtId="4" fontId="5" fillId="11" borderId="13" xfId="0" applyNumberFormat="1" applyFont="1" applyFill="1" applyBorder="1"/>
    <xf numFmtId="164" fontId="13" fillId="22" borderId="13" xfId="0" applyNumberFormat="1" applyFont="1" applyFill="1" applyBorder="1"/>
    <xf numFmtId="164" fontId="27" fillId="10" borderId="13" xfId="0" applyNumberFormat="1" applyFont="1" applyFill="1" applyBorder="1"/>
    <xf numFmtId="0" fontId="9" fillId="0" borderId="13" xfId="0" applyFont="1" applyBorder="1"/>
    <xf numFmtId="164" fontId="9" fillId="15" borderId="13" xfId="15" applyNumberFormat="1" applyFont="1" applyFill="1" applyBorder="1"/>
    <xf numFmtId="164" fontId="23" fillId="15" borderId="13" xfId="15" applyNumberFormat="1" applyFont="1" applyFill="1" applyBorder="1" applyAlignment="1">
      <alignment horizontal="right"/>
    </xf>
    <xf numFmtId="164" fontId="9" fillId="10" borderId="13" xfId="15" applyNumberFormat="1" applyFont="1" applyFill="1" applyBorder="1"/>
    <xf numFmtId="164" fontId="8" fillId="0" borderId="13" xfId="15" applyNumberFormat="1" applyFont="1" applyFill="1" applyBorder="1"/>
    <xf numFmtId="0" fontId="14" fillId="0" borderId="13" xfId="0" applyFont="1" applyBorder="1" applyAlignment="1">
      <alignment vertical="center"/>
    </xf>
    <xf numFmtId="0" fontId="14" fillId="0" borderId="13" xfId="0" applyFont="1" applyBorder="1"/>
    <xf numFmtId="0" fontId="8" fillId="0" borderId="13" xfId="0" applyFont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3" xfId="0" applyFont="1" applyFill="1" applyBorder="1"/>
    <xf numFmtId="164" fontId="9" fillId="19" borderId="13" xfId="15" applyNumberFormat="1" applyFont="1" applyFill="1" applyBorder="1"/>
    <xf numFmtId="0" fontId="9" fillId="0" borderId="13" xfId="0" applyNumberFormat="1" applyFont="1" applyBorder="1" applyAlignment="1">
      <alignment horizontal="left"/>
    </xf>
    <xf numFmtId="164" fontId="9" fillId="0" borderId="13" xfId="15" applyNumberFormat="1" applyFont="1" applyBorder="1"/>
    <xf numFmtId="166" fontId="9" fillId="0" borderId="13" xfId="15" applyNumberFormat="1" applyFont="1" applyBorder="1"/>
    <xf numFmtId="166" fontId="9" fillId="10" borderId="13" xfId="15" applyNumberFormat="1" applyFont="1" applyFill="1" applyBorder="1" applyAlignment="1">
      <alignment horizontal="right"/>
    </xf>
    <xf numFmtId="0" fontId="9" fillId="7" borderId="13" xfId="0" applyNumberFormat="1" applyFont="1" applyFill="1" applyBorder="1" applyAlignment="1">
      <alignment horizontal="left"/>
    </xf>
    <xf numFmtId="164" fontId="9" fillId="17" borderId="13" xfId="0" applyNumberFormat="1" applyFont="1" applyFill="1" applyBorder="1"/>
    <xf numFmtId="49" fontId="9" fillId="7" borderId="13" xfId="0" applyNumberFormat="1" applyFont="1" applyFill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164" fontId="13" fillId="0" borderId="92" xfId="0" applyNumberFormat="1" applyFont="1" applyFill="1" applyBorder="1"/>
    <xf numFmtId="4" fontId="26" fillId="16" borderId="92" xfId="0" applyNumberFormat="1" applyFont="1" applyFill="1" applyBorder="1"/>
    <xf numFmtId="4" fontId="26" fillId="16" borderId="13" xfId="0" applyNumberFormat="1" applyFont="1" applyFill="1" applyBorder="1"/>
    <xf numFmtId="4" fontId="5" fillId="13" borderId="92" xfId="0" applyNumberFormat="1" applyFont="1" applyFill="1" applyBorder="1"/>
    <xf numFmtId="164" fontId="3" fillId="4" borderId="92" xfId="0" applyNumberFormat="1" applyFont="1" applyFill="1" applyBorder="1"/>
    <xf numFmtId="165" fontId="3" fillId="0" borderId="13" xfId="0" applyNumberFormat="1" applyFont="1" applyFill="1" applyBorder="1"/>
    <xf numFmtId="3" fontId="3" fillId="0" borderId="13" xfId="0" applyNumberFormat="1" applyFont="1" applyFill="1" applyBorder="1"/>
    <xf numFmtId="165" fontId="3" fillId="0" borderId="92" xfId="15" applyNumberFormat="1" applyFont="1" applyFill="1" applyBorder="1"/>
    <xf numFmtId="165" fontId="13" fillId="18" borderId="92" xfId="15" applyNumberFormat="1" applyFont="1" applyFill="1" applyBorder="1"/>
    <xf numFmtId="164" fontId="3" fillId="15" borderId="92" xfId="0" applyNumberFormat="1" applyFont="1" applyFill="1" applyBorder="1"/>
    <xf numFmtId="2" fontId="17" fillId="0" borderId="59" xfId="15" applyNumberFormat="1" applyFont="1" applyBorder="1" applyAlignment="1">
      <alignment horizontal="right"/>
    </xf>
    <xf numFmtId="164" fontId="9" fillId="19" borderId="92" xfId="15" applyNumberFormat="1" applyFont="1" applyFill="1" applyBorder="1" applyAlignment="1">
      <alignment horizontal="right"/>
    </xf>
    <xf numFmtId="4" fontId="9" fillId="0" borderId="92" xfId="15" applyNumberFormat="1" applyFont="1" applyBorder="1" applyAlignment="1">
      <alignment horizontal="right"/>
    </xf>
    <xf numFmtId="166" fontId="9" fillId="0" borderId="92" xfId="15" applyNumberFormat="1" applyFont="1" applyBorder="1" applyAlignment="1">
      <alignment horizontal="right"/>
    </xf>
    <xf numFmtId="4" fontId="9" fillId="19" borderId="92" xfId="15" applyNumberFormat="1" applyFont="1" applyFill="1" applyBorder="1" applyAlignment="1">
      <alignment horizontal="right"/>
    </xf>
    <xf numFmtId="2" fontId="9" fillId="19" borderId="92" xfId="15" applyNumberFormat="1" applyFont="1" applyFill="1" applyBorder="1" applyAlignment="1">
      <alignment horizontal="right"/>
    </xf>
    <xf numFmtId="4" fontId="14" fillId="0" borderId="92" xfId="15" applyNumberFormat="1" applyFont="1" applyFill="1" applyBorder="1" applyAlignment="1">
      <alignment horizontal="right"/>
    </xf>
    <xf numFmtId="164" fontId="9" fillId="0" borderId="92" xfId="15" applyNumberFormat="1" applyFont="1" applyBorder="1" applyAlignment="1">
      <alignment horizontal="right"/>
    </xf>
    <xf numFmtId="4" fontId="3" fillId="10" borderId="92" xfId="0" applyNumberFormat="1" applyFont="1" applyFill="1" applyBorder="1" applyAlignment="1">
      <alignment horizontal="right"/>
    </xf>
    <xf numFmtId="164" fontId="9" fillId="0" borderId="92" xfId="0" applyNumberFormat="1" applyFont="1" applyBorder="1" applyAlignment="1">
      <alignment horizontal="right"/>
    </xf>
    <xf numFmtId="164" fontId="9" fillId="7" borderId="92" xfId="0" applyNumberFormat="1" applyFont="1" applyFill="1" applyBorder="1" applyAlignment="1">
      <alignment horizontal="right"/>
    </xf>
    <xf numFmtId="164" fontId="9" fillId="10" borderId="92" xfId="15" applyNumberFormat="1" applyFont="1" applyFill="1" applyBorder="1" applyAlignment="1">
      <alignment horizontal="right"/>
    </xf>
    <xf numFmtId="164" fontId="9" fillId="17" borderId="92" xfId="0" applyNumberFormat="1" applyFont="1" applyFill="1" applyBorder="1" applyAlignment="1">
      <alignment horizontal="right"/>
    </xf>
    <xf numFmtId="2" fontId="9" fillId="17" borderId="92" xfId="0" applyNumberFormat="1" applyFont="1" applyFill="1" applyBorder="1" applyAlignment="1">
      <alignment horizontal="right"/>
    </xf>
    <xf numFmtId="166" fontId="9" fillId="0" borderId="92" xfId="0" applyNumberFormat="1" applyFont="1" applyBorder="1" applyAlignment="1">
      <alignment horizontal="right"/>
    </xf>
    <xf numFmtId="165" fontId="9" fillId="7" borderId="92" xfId="0" applyNumberFormat="1" applyFont="1" applyFill="1" applyBorder="1" applyAlignment="1">
      <alignment horizontal="right"/>
    </xf>
    <xf numFmtId="165" fontId="3" fillId="10" borderId="92" xfId="0" applyNumberFormat="1" applyFont="1" applyFill="1" applyBorder="1" applyAlignment="1">
      <alignment horizontal="right"/>
    </xf>
    <xf numFmtId="0" fontId="7" fillId="6" borderId="49" xfId="0" applyFont="1" applyFill="1" applyBorder="1" applyAlignment="1">
      <alignment horizontal="center" vertical="center" textRotation="90"/>
    </xf>
    <xf numFmtId="4" fontId="13" fillId="10" borderId="92" xfId="15" applyNumberFormat="1" applyFont="1" applyFill="1" applyBorder="1"/>
    <xf numFmtId="0" fontId="24" fillId="0" borderId="0" xfId="15" applyFont="1"/>
    <xf numFmtId="164" fontId="13" fillId="10" borderId="92" xfId="15" applyNumberFormat="1" applyFont="1" applyFill="1" applyBorder="1"/>
    <xf numFmtId="164" fontId="26" fillId="10" borderId="92" xfId="0" applyNumberFormat="1" applyFont="1" applyFill="1" applyBorder="1"/>
    <xf numFmtId="165" fontId="3" fillId="0" borderId="92" xfId="0" applyNumberFormat="1" applyFont="1" applyFill="1" applyBorder="1"/>
    <xf numFmtId="164" fontId="30" fillId="0" borderId="92" xfId="15" applyNumberFormat="1" applyFont="1" applyFill="1" applyBorder="1"/>
    <xf numFmtId="165" fontId="26" fillId="10" borderId="92" xfId="15" applyNumberFormat="1" applyFont="1" applyFill="1" applyBorder="1"/>
    <xf numFmtId="165" fontId="26" fillId="18" borderId="92" xfId="15" applyNumberFormat="1" applyFont="1" applyFill="1" applyBorder="1"/>
    <xf numFmtId="165" fontId="26" fillId="0" borderId="92" xfId="15" applyNumberFormat="1" applyFont="1" applyFill="1" applyBorder="1"/>
    <xf numFmtId="165" fontId="3" fillId="10" borderId="92" xfId="0" applyNumberFormat="1" applyFont="1" applyFill="1" applyBorder="1"/>
    <xf numFmtId="165" fontId="29" fillId="9" borderId="92" xfId="15" applyNumberFormat="1" applyFont="1" applyFill="1" applyBorder="1"/>
    <xf numFmtId="165" fontId="9" fillId="19" borderId="92" xfId="15" applyNumberFormat="1" applyFont="1" applyFill="1" applyBorder="1" applyAlignment="1">
      <alignment horizontal="right"/>
    </xf>
    <xf numFmtId="165" fontId="9" fillId="0" borderId="92" xfId="15" applyNumberFormat="1" applyFont="1" applyBorder="1" applyAlignment="1">
      <alignment horizontal="right"/>
    </xf>
    <xf numFmtId="4" fontId="13" fillId="20" borderId="92" xfId="0" applyNumberFormat="1" applyFont="1" applyFill="1" applyBorder="1"/>
    <xf numFmtId="3" fontId="3" fillId="0" borderId="92" xfId="15" applyNumberFormat="1" applyFont="1" applyFill="1" applyBorder="1"/>
    <xf numFmtId="3" fontId="26" fillId="10" borderId="92" xfId="15" applyNumberFormat="1" applyFont="1" applyFill="1" applyBorder="1"/>
    <xf numFmtId="3" fontId="9" fillId="10" borderId="92" xfId="15" applyNumberFormat="1" applyFont="1" applyFill="1" applyBorder="1"/>
    <xf numFmtId="4" fontId="27" fillId="16" borderId="92" xfId="0" applyNumberFormat="1" applyFont="1" applyFill="1" applyBorder="1"/>
    <xf numFmtId="164" fontId="27" fillId="11" borderId="92" xfId="0" applyNumberFormat="1" applyFont="1" applyFill="1" applyBorder="1"/>
    <xf numFmtId="4" fontId="29" fillId="10" borderId="92" xfId="15" applyNumberFormat="1" applyFont="1" applyFill="1" applyBorder="1"/>
    <xf numFmtId="4" fontId="47" fillId="10" borderId="92" xfId="15" applyNumberFormat="1" applyFont="1" applyFill="1" applyBorder="1"/>
    <xf numFmtId="4" fontId="3" fillId="0" borderId="13" xfId="0" applyNumberFormat="1" applyFont="1" applyFill="1" applyBorder="1"/>
    <xf numFmtId="2" fontId="9" fillId="17" borderId="92" xfId="0" applyNumberFormat="1" applyFont="1" applyFill="1" applyBorder="1" applyAlignment="1"/>
    <xf numFmtId="3" fontId="9" fillId="0" borderId="92" xfId="15" applyNumberFormat="1" applyFont="1" applyBorder="1"/>
    <xf numFmtId="0" fontId="3" fillId="0" borderId="130" xfId="0" applyFont="1" applyBorder="1"/>
    <xf numFmtId="0" fontId="3" fillId="0" borderId="130" xfId="0" applyNumberFormat="1" applyFont="1" applyBorder="1" applyAlignment="1">
      <alignment horizontal="center"/>
    </xf>
    <xf numFmtId="4" fontId="3" fillId="10" borderId="13" xfId="0" applyNumberFormat="1" applyFont="1" applyFill="1" applyBorder="1"/>
    <xf numFmtId="0" fontId="3" fillId="0" borderId="131" xfId="0" applyFont="1" applyBorder="1"/>
    <xf numFmtId="0" fontId="9" fillId="0" borderId="131" xfId="0" applyFont="1" applyBorder="1" applyAlignment="1">
      <alignment horizontal="left" indent="2"/>
    </xf>
    <xf numFmtId="0" fontId="8" fillId="0" borderId="131" xfId="0" applyFont="1" applyBorder="1"/>
    <xf numFmtId="49" fontId="9" fillId="0" borderId="13" xfId="0" applyNumberFormat="1" applyFont="1" applyBorder="1"/>
    <xf numFmtId="0" fontId="8" fillId="6" borderId="131" xfId="0" applyFont="1" applyFill="1" applyBorder="1"/>
    <xf numFmtId="0" fontId="3" fillId="0" borderId="13" xfId="0" applyFont="1" applyFill="1" applyBorder="1"/>
    <xf numFmtId="0" fontId="3" fillId="0" borderId="131" xfId="0" applyFont="1" applyFill="1" applyBorder="1"/>
    <xf numFmtId="0" fontId="5" fillId="6" borderId="13" xfId="0" applyFont="1" applyFill="1" applyBorder="1"/>
    <xf numFmtId="0" fontId="5" fillId="6" borderId="131" xfId="0" applyFont="1" applyFill="1" applyBorder="1"/>
    <xf numFmtId="0" fontId="11" fillId="6" borderId="13" xfId="0" applyFont="1" applyFill="1" applyBorder="1"/>
    <xf numFmtId="0" fontId="11" fillId="6" borderId="131" xfId="0" applyFont="1" applyFill="1" applyBorder="1"/>
    <xf numFmtId="0" fontId="27" fillId="0" borderId="13" xfId="15" applyFont="1" applyBorder="1"/>
    <xf numFmtId="0" fontId="27" fillId="0" borderId="131" xfId="15" applyFont="1" applyFill="1" applyBorder="1"/>
    <xf numFmtId="0" fontId="3" fillId="0" borderId="131" xfId="15" applyFont="1" applyBorder="1"/>
    <xf numFmtId="0" fontId="13" fillId="4" borderId="131" xfId="15" applyFont="1" applyFill="1" applyBorder="1" applyAlignment="1">
      <alignment horizontal="left" indent="3"/>
    </xf>
    <xf numFmtId="0" fontId="5" fillId="0" borderId="131" xfId="0" applyFont="1" applyFill="1" applyBorder="1"/>
    <xf numFmtId="0" fontId="13" fillId="12" borderId="131" xfId="0" applyFont="1" applyFill="1" applyBorder="1" applyAlignment="1">
      <alignment horizontal="left" indent="3"/>
    </xf>
    <xf numFmtId="0" fontId="9" fillId="0" borderId="131" xfId="0" applyFont="1" applyBorder="1"/>
    <xf numFmtId="0" fontId="14" fillId="0" borderId="131" xfId="0" applyFont="1" applyBorder="1"/>
    <xf numFmtId="0" fontId="9" fillId="7" borderId="131" xfId="0" applyFont="1" applyFill="1" applyBorder="1"/>
    <xf numFmtId="0" fontId="26" fillId="0" borderId="130" xfId="15" applyFont="1" applyBorder="1"/>
    <xf numFmtId="0" fontId="26" fillId="0" borderId="130" xfId="15" applyNumberFormat="1" applyFont="1" applyBorder="1" applyAlignment="1">
      <alignment horizontal="center"/>
    </xf>
    <xf numFmtId="0" fontId="3" fillId="0" borderId="0" xfId="0" applyFont="1" applyBorder="1"/>
    <xf numFmtId="2" fontId="26" fillId="0" borderId="130" xfId="15" applyNumberFormat="1" applyFont="1" applyBorder="1"/>
    <xf numFmtId="2" fontId="3" fillId="0" borderId="130" xfId="0" applyNumberFormat="1" applyFont="1" applyBorder="1"/>
    <xf numFmtId="0" fontId="3" fillId="0" borderId="132" xfId="0" applyFont="1" applyBorder="1"/>
    <xf numFmtId="0" fontId="3" fillId="0" borderId="132" xfId="0" applyNumberFormat="1" applyFont="1" applyBorder="1" applyAlignment="1">
      <alignment horizontal="center"/>
    </xf>
    <xf numFmtId="4" fontId="3" fillId="10" borderId="130" xfId="0" applyNumberFormat="1" applyFont="1" applyFill="1" applyBorder="1"/>
    <xf numFmtId="0" fontId="3" fillId="0" borderId="134" xfId="0" applyFont="1" applyBorder="1"/>
    <xf numFmtId="0" fontId="3" fillId="0" borderId="133" xfId="0" applyFont="1" applyBorder="1"/>
    <xf numFmtId="0" fontId="12" fillId="12" borderId="136" xfId="0" applyFont="1" applyFill="1" applyBorder="1"/>
    <xf numFmtId="0" fontId="13" fillId="12" borderId="135" xfId="0" applyFont="1" applyFill="1" applyBorder="1" applyAlignment="1">
      <alignment horizontal="left" indent="3"/>
    </xf>
    <xf numFmtId="164" fontId="26" fillId="16" borderId="13" xfId="0" applyNumberFormat="1" applyFont="1" applyFill="1" applyBorder="1"/>
    <xf numFmtId="169" fontId="3" fillId="0" borderId="130" xfId="0" applyNumberFormat="1" applyFont="1" applyBorder="1"/>
    <xf numFmtId="0" fontId="3" fillId="0" borderId="137" xfId="0" applyFont="1" applyBorder="1"/>
    <xf numFmtId="4" fontId="26" fillId="10" borderId="130" xfId="15" applyNumberFormat="1" applyFont="1" applyFill="1" applyBorder="1"/>
    <xf numFmtId="4" fontId="3" fillId="23" borderId="130" xfId="0" applyNumberFormat="1" applyFont="1" applyFill="1" applyBorder="1"/>
    <xf numFmtId="0" fontId="3" fillId="0" borderId="3" xfId="0" applyFont="1" applyBorder="1"/>
    <xf numFmtId="0" fontId="3" fillId="0" borderId="3" xfId="0" applyNumberFormat="1" applyFont="1" applyBorder="1" applyAlignment="1">
      <alignment horizontal="center"/>
    </xf>
    <xf numFmtId="4" fontId="26" fillId="10" borderId="3" xfId="15" applyNumberFormat="1" applyFont="1" applyFill="1" applyBorder="1"/>
    <xf numFmtId="165" fontId="13" fillId="10" borderId="92" xfId="15" applyNumberFormat="1" applyFont="1" applyFill="1" applyBorder="1"/>
    <xf numFmtId="2" fontId="3" fillId="0" borderId="3" xfId="0" applyNumberFormat="1" applyFont="1" applyBorder="1"/>
    <xf numFmtId="4" fontId="3" fillId="10" borderId="3" xfId="0" applyNumberFormat="1" applyFont="1" applyFill="1" applyBorder="1"/>
    <xf numFmtId="49" fontId="22" fillId="15" borderId="0" xfId="15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3" xfId="22" applyFont="1" applyBorder="1"/>
    <xf numFmtId="165" fontId="8" fillId="0" borderId="92" xfId="0" applyNumberFormat="1" applyFont="1" applyFill="1" applyBorder="1"/>
    <xf numFmtId="165" fontId="8" fillId="6" borderId="92" xfId="0" applyNumberFormat="1" applyFont="1" applyFill="1" applyBorder="1"/>
    <xf numFmtId="165" fontId="9" fillId="17" borderId="92" xfId="0" applyNumberFormat="1" applyFont="1" applyFill="1" applyBorder="1" applyAlignment="1">
      <alignment horizontal="right"/>
    </xf>
    <xf numFmtId="165" fontId="26" fillId="0" borderId="0" xfId="15" applyNumberFormat="1" applyFont="1"/>
    <xf numFmtId="0" fontId="6" fillId="0" borderId="0" xfId="13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/>
    <xf numFmtId="4" fontId="3" fillId="15" borderId="0" xfId="0" applyNumberFormat="1" applyFont="1" applyFill="1" applyBorder="1"/>
    <xf numFmtId="4" fontId="3" fillId="10" borderId="0" xfId="0" applyNumberFormat="1" applyFont="1" applyFill="1" applyBorder="1"/>
    <xf numFmtId="164" fontId="3" fillId="11" borderId="0" xfId="0" applyNumberFormat="1" applyFont="1" applyFill="1" applyBorder="1"/>
    <xf numFmtId="164" fontId="8" fillId="11" borderId="0" xfId="0" applyNumberFormat="1" applyFont="1" applyFill="1" applyBorder="1"/>
    <xf numFmtId="165" fontId="8" fillId="6" borderId="0" xfId="0" applyNumberFormat="1" applyFont="1" applyFill="1" applyBorder="1"/>
    <xf numFmtId="164" fontId="3" fillId="0" borderId="0" xfId="0" applyNumberFormat="1" applyFont="1" applyBorder="1"/>
    <xf numFmtId="164" fontId="9" fillId="0" borderId="0" xfId="0" applyNumberFormat="1" applyFont="1" applyBorder="1"/>
    <xf numFmtId="164" fontId="8" fillId="0" borderId="0" xfId="0" applyNumberFormat="1" applyFont="1" applyBorder="1"/>
    <xf numFmtId="164" fontId="3" fillId="8" borderId="0" xfId="0" applyNumberFormat="1" applyFont="1" applyFill="1" applyBorder="1"/>
    <xf numFmtId="164" fontId="3" fillId="0" borderId="0" xfId="0" applyNumberFormat="1" applyFont="1" applyFill="1" applyBorder="1"/>
    <xf numFmtId="164" fontId="8" fillId="6" borderId="0" xfId="0" applyNumberFormat="1" applyFont="1" applyFill="1" applyBorder="1"/>
    <xf numFmtId="164" fontId="5" fillId="6" borderId="0" xfId="0" applyNumberFormat="1" applyFont="1" applyFill="1" applyBorder="1"/>
    <xf numFmtId="165" fontId="11" fillId="6" borderId="0" xfId="0" applyNumberFormat="1" applyFont="1" applyFill="1" applyBorder="1"/>
    <xf numFmtId="164" fontId="13" fillId="8" borderId="0" xfId="0" applyNumberFormat="1" applyFont="1" applyFill="1" applyBorder="1"/>
    <xf numFmtId="4" fontId="3" fillId="4" borderId="0" xfId="0" applyNumberFormat="1" applyFont="1" applyFill="1" applyBorder="1"/>
    <xf numFmtId="164" fontId="5" fillId="11" borderId="0" xfId="0" applyNumberFormat="1" applyFont="1" applyFill="1" applyBorder="1"/>
    <xf numFmtId="164" fontId="13" fillId="12" borderId="0" xfId="0" applyNumberFormat="1" applyFont="1" applyFill="1" applyBorder="1"/>
    <xf numFmtId="166" fontId="29" fillId="10" borderId="0" xfId="0" applyNumberFormat="1" applyFont="1" applyFill="1" applyBorder="1" applyAlignment="1">
      <alignment horizontal="right"/>
    </xf>
    <xf numFmtId="164" fontId="8" fillId="0" borderId="0" xfId="15" applyNumberFormat="1" applyFont="1" applyFill="1" applyBorder="1"/>
    <xf numFmtId="164" fontId="14" fillId="0" borderId="0" xfId="0" applyNumberFormat="1" applyFont="1" applyFill="1" applyBorder="1"/>
    <xf numFmtId="2" fontId="29" fillId="0" borderId="0" xfId="16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164" fontId="9" fillId="7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6" fontId="9" fillId="10" borderId="0" xfId="15" applyNumberFormat="1" applyFont="1" applyFill="1" applyBorder="1" applyAlignment="1">
      <alignment horizontal="right"/>
    </xf>
    <xf numFmtId="165" fontId="9" fillId="17" borderId="0" xfId="0" applyNumberFormat="1" applyFont="1" applyFill="1" applyBorder="1" applyAlignment="1">
      <alignment horizontal="right"/>
    </xf>
    <xf numFmtId="2" fontId="46" fillId="7" borderId="0" xfId="16" applyNumberFormat="1" applyFont="1" applyFill="1" applyBorder="1" applyAlignment="1" applyProtection="1">
      <alignment horizontal="right"/>
    </xf>
    <xf numFmtId="2" fontId="9" fillId="19" borderId="0" xfId="15" applyNumberFormat="1" applyFont="1" applyFill="1" applyBorder="1" applyAlignment="1">
      <alignment horizontal="right"/>
    </xf>
    <xf numFmtId="2" fontId="9" fillId="0" borderId="0" xfId="16" applyNumberFormat="1" applyFont="1" applyFill="1" applyBorder="1" applyAlignment="1" applyProtection="1">
      <alignment horizontal="right"/>
    </xf>
    <xf numFmtId="0" fontId="6" fillId="0" borderId="0" xfId="0" applyFont="1" applyBorder="1" applyAlignment="1">
      <alignment horizontal="center"/>
    </xf>
    <xf numFmtId="0" fontId="16" fillId="0" borderId="0" xfId="15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164" fontId="20" fillId="8" borderId="0" xfId="0" applyNumberFormat="1" applyFont="1" applyFill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164" fontId="16" fillId="0" borderId="0" xfId="15" applyNumberFormat="1" applyFont="1" applyBorder="1" applyAlignment="1">
      <alignment horizontal="right"/>
    </xf>
    <xf numFmtId="164" fontId="17" fillId="0" borderId="0" xfId="15" applyNumberFormat="1" applyFont="1" applyBorder="1" applyAlignment="1">
      <alignment horizontal="right"/>
    </xf>
    <xf numFmtId="2" fontId="17" fillId="0" borderId="0" xfId="15" applyNumberFormat="1" applyFont="1" applyBorder="1" applyAlignment="1">
      <alignment horizontal="right"/>
    </xf>
    <xf numFmtId="165" fontId="17" fillId="0" borderId="0" xfId="15" applyNumberFormat="1" applyFont="1" applyBorder="1" applyAlignment="1">
      <alignment horizontal="right"/>
    </xf>
    <xf numFmtId="164" fontId="20" fillId="0" borderId="0" xfId="15" applyNumberFormat="1" applyFont="1" applyBorder="1" applyAlignment="1">
      <alignment horizontal="right"/>
    </xf>
    <xf numFmtId="173" fontId="3" fillId="0" borderId="3" xfId="0" applyNumberFormat="1" applyFont="1" applyBorder="1"/>
    <xf numFmtId="164" fontId="24" fillId="0" borderId="0" xfId="15" applyNumberFormat="1"/>
    <xf numFmtId="164" fontId="48" fillId="15" borderId="0" xfId="23" applyNumberFormat="1" applyFont="1" applyFill="1" applyBorder="1" applyAlignment="1" applyProtection="1">
      <alignment horizontal="right" vertical="center"/>
    </xf>
    <xf numFmtId="165" fontId="5" fillId="0" borderId="92" xfId="0" applyNumberFormat="1" applyFont="1" applyFill="1" applyBorder="1"/>
    <xf numFmtId="165" fontId="3" fillId="10" borderId="3" xfId="0" applyNumberFormat="1" applyFont="1" applyFill="1" applyBorder="1"/>
    <xf numFmtId="173" fontId="3" fillId="0" borderId="130" xfId="0" applyNumberFormat="1" applyFont="1" applyBorder="1"/>
    <xf numFmtId="165" fontId="27" fillId="10" borderId="92" xfId="15" applyNumberFormat="1" applyFont="1" applyFill="1" applyBorder="1"/>
    <xf numFmtId="165" fontId="13" fillId="4" borderId="92" xfId="15" applyNumberFormat="1" applyFont="1" applyFill="1" applyBorder="1"/>
    <xf numFmtId="173" fontId="3" fillId="0" borderId="0" xfId="0" applyNumberFormat="1" applyFont="1"/>
    <xf numFmtId="0" fontId="6" fillId="0" borderId="6" xfId="13" applyNumberFormat="1" applyFont="1" applyFill="1" applyBorder="1" applyAlignment="1" applyProtection="1">
      <alignment horizontal="center" vertical="center" wrapText="1"/>
    </xf>
    <xf numFmtId="0" fontId="3" fillId="0" borderId="140" xfId="0" applyFont="1" applyBorder="1"/>
    <xf numFmtId="165" fontId="5" fillId="16" borderId="92" xfId="0" applyNumberFormat="1" applyFont="1" applyFill="1" applyBorder="1"/>
    <xf numFmtId="165" fontId="27" fillId="0" borderId="92" xfId="15" applyNumberFormat="1" applyFont="1" applyFill="1" applyBorder="1"/>
    <xf numFmtId="4" fontId="24" fillId="0" borderId="0" xfId="15" applyNumberFormat="1"/>
    <xf numFmtId="3" fontId="3" fillId="0" borderId="0" xfId="0" applyNumberFormat="1" applyFont="1"/>
    <xf numFmtId="0" fontId="6" fillId="0" borderId="6" xfId="13" applyNumberFormat="1" applyFont="1" applyFill="1" applyBorder="1" applyAlignment="1" applyProtection="1">
      <alignment horizontal="center" vertical="center" wrapText="1"/>
    </xf>
    <xf numFmtId="0" fontId="6" fillId="0" borderId="6" xfId="13" applyNumberFormat="1" applyFont="1" applyFill="1" applyBorder="1" applyAlignment="1" applyProtection="1">
      <alignment horizontal="center" vertical="center" wrapText="1"/>
    </xf>
    <xf numFmtId="0" fontId="49" fillId="0" borderId="92" xfId="0" applyFont="1" applyFill="1" applyBorder="1"/>
    <xf numFmtId="166" fontId="8" fillId="10" borderId="17" xfId="0" applyNumberFormat="1" applyFont="1" applyFill="1" applyBorder="1" applyAlignment="1">
      <alignment horizontal="right"/>
    </xf>
    <xf numFmtId="4" fontId="8" fillId="0" borderId="82" xfId="15" applyNumberFormat="1" applyFont="1" applyFill="1" applyBorder="1"/>
    <xf numFmtId="166" fontId="29" fillId="10" borderId="92" xfId="15" applyNumberFormat="1" applyFont="1" applyFill="1" applyBorder="1"/>
    <xf numFmtId="3" fontId="5" fillId="16" borderId="92" xfId="0" applyNumberFormat="1" applyFont="1" applyFill="1" applyBorder="1"/>
    <xf numFmtId="179" fontId="9" fillId="10" borderId="92" xfId="15" applyNumberFormat="1" applyFont="1" applyFill="1" applyBorder="1"/>
    <xf numFmtId="168" fontId="72" fillId="0" borderId="0" xfId="15" applyNumberFormat="1" applyFont="1"/>
    <xf numFmtId="3" fontId="13" fillId="21" borderId="92" xfId="0" applyNumberFormat="1" applyFont="1" applyFill="1" applyBorder="1"/>
    <xf numFmtId="165" fontId="30" fillId="4" borderId="92" xfId="15" applyNumberFormat="1" applyFont="1" applyFill="1" applyBorder="1"/>
    <xf numFmtId="165" fontId="9" fillId="15" borderId="92" xfId="15" applyNumberFormat="1" applyFont="1" applyFill="1" applyBorder="1"/>
    <xf numFmtId="164" fontId="23" fillId="15" borderId="136" xfId="15" applyNumberFormat="1" applyFont="1" applyFill="1" applyBorder="1" applyAlignment="1">
      <alignment horizontal="right"/>
    </xf>
    <xf numFmtId="164" fontId="23" fillId="15" borderId="135" xfId="15" applyNumberFormat="1" applyFont="1" applyFill="1" applyBorder="1" applyAlignment="1">
      <alignment horizontal="right"/>
    </xf>
    <xf numFmtId="4" fontId="9" fillId="0" borderId="13" xfId="15" applyNumberFormat="1" applyFont="1" applyBorder="1"/>
    <xf numFmtId="4" fontId="9" fillId="19" borderId="13" xfId="15" applyNumberFormat="1" applyFont="1" applyFill="1" applyBorder="1"/>
    <xf numFmtId="164" fontId="8" fillId="0" borderId="13" xfId="15" applyNumberFormat="1" applyFont="1" applyFill="1" applyBorder="1" applyAlignment="1">
      <alignment horizontal="right"/>
    </xf>
    <xf numFmtId="165" fontId="14" fillId="0" borderId="13" xfId="15" applyNumberFormat="1" applyFont="1" applyFill="1" applyBorder="1"/>
    <xf numFmtId="0" fontId="73" fillId="0" borderId="0" xfId="0" applyFont="1"/>
    <xf numFmtId="165" fontId="26" fillId="16" borderId="92" xfId="0" applyNumberFormat="1" applyFont="1" applyFill="1" applyBorder="1"/>
    <xf numFmtId="4" fontId="14" fillId="0" borderId="92" xfId="0" applyNumberFormat="1" applyFont="1" applyFill="1" applyBorder="1"/>
    <xf numFmtId="1" fontId="3" fillId="0" borderId="0" xfId="0" applyNumberFormat="1" applyFont="1"/>
    <xf numFmtId="165" fontId="3" fillId="8" borderId="92" xfId="0" applyNumberFormat="1" applyFont="1" applyFill="1" applyBorder="1"/>
    <xf numFmtId="4" fontId="23" fillId="10" borderId="92" xfId="15" applyNumberFormat="1" applyFont="1" applyFill="1" applyBorder="1" applyAlignment="1">
      <alignment horizontal="right"/>
    </xf>
    <xf numFmtId="165" fontId="8" fillId="0" borderId="92" xfId="15" applyNumberFormat="1" applyFont="1" applyFill="1" applyBorder="1"/>
    <xf numFmtId="165" fontId="8" fillId="0" borderId="92" xfId="15" applyNumberFormat="1" applyFont="1" applyFill="1" applyBorder="1" applyAlignment="1">
      <alignment horizontal="right"/>
    </xf>
    <xf numFmtId="165" fontId="23" fillId="10" borderId="92" xfId="15" applyNumberFormat="1" applyFont="1" applyFill="1" applyBorder="1"/>
    <xf numFmtId="4" fontId="29" fillId="10" borderId="92" xfId="0" applyNumberFormat="1" applyFont="1" applyFill="1" applyBorder="1"/>
    <xf numFmtId="164" fontId="29" fillId="10" borderId="92" xfId="0" applyNumberFormat="1" applyFont="1" applyFill="1" applyBorder="1"/>
    <xf numFmtId="165" fontId="26" fillId="0" borderId="92" xfId="15" applyNumberFormat="1" applyFont="1" applyBorder="1"/>
    <xf numFmtId="165" fontId="23" fillId="10" borderId="92" xfId="15" applyNumberFormat="1" applyFont="1" applyFill="1" applyBorder="1" applyAlignment="1">
      <alignment horizontal="right"/>
    </xf>
    <xf numFmtId="180" fontId="8" fillId="0" borderId="92" xfId="15" applyNumberFormat="1" applyFont="1" applyFill="1" applyBorder="1" applyAlignment="1">
      <alignment horizontal="right"/>
    </xf>
    <xf numFmtId="165" fontId="26" fillId="10" borderId="130" xfId="15" applyNumberFormat="1" applyFont="1" applyFill="1" applyBorder="1"/>
    <xf numFmtId="3" fontId="9" fillId="15" borderId="92" xfId="15" applyNumberFormat="1" applyFont="1" applyFill="1" applyBorder="1"/>
    <xf numFmtId="3" fontId="26" fillId="15" borderId="92" xfId="15" applyNumberFormat="1" applyFont="1" applyFill="1" applyBorder="1"/>
    <xf numFmtId="3" fontId="29" fillId="15" borderId="92" xfId="15" applyNumberFormat="1" applyFont="1" applyFill="1" applyBorder="1"/>
    <xf numFmtId="164" fontId="26" fillId="0" borderId="0" xfId="15" applyNumberFormat="1" applyFont="1"/>
    <xf numFmtId="3" fontId="13" fillId="8" borderId="92" xfId="0" applyNumberFormat="1" applyFont="1" applyFill="1" applyBorder="1"/>
    <xf numFmtId="3" fontId="13" fillId="12" borderId="92" xfId="0" applyNumberFormat="1" applyFont="1" applyFill="1" applyBorder="1"/>
    <xf numFmtId="3" fontId="3" fillId="12" borderId="92" xfId="0" applyNumberFormat="1" applyFont="1" applyFill="1" applyBorder="1"/>
    <xf numFmtId="3" fontId="3" fillId="0" borderId="92" xfId="0" applyNumberFormat="1" applyFont="1" applyFill="1" applyBorder="1"/>
    <xf numFmtId="0" fontId="26" fillId="0" borderId="0" xfId="15" applyFont="1" applyBorder="1"/>
    <xf numFmtId="0" fontId="26" fillId="0" borderId="0" xfId="15" applyNumberFormat="1" applyFont="1" applyBorder="1" applyAlignment="1">
      <alignment horizontal="center"/>
    </xf>
    <xf numFmtId="2" fontId="26" fillId="0" borderId="0" xfId="15" applyNumberFormat="1" applyFont="1" applyBorder="1"/>
    <xf numFmtId="164" fontId="3" fillId="0" borderId="0" xfId="15" applyNumberFormat="1" applyFont="1"/>
    <xf numFmtId="0" fontId="4" fillId="0" borderId="0" xfId="0" applyFont="1" applyBorder="1" applyAlignment="1">
      <alignment horizontal="center"/>
    </xf>
    <xf numFmtId="49" fontId="22" fillId="15" borderId="0" xfId="15" applyNumberFormat="1" applyFont="1" applyFill="1" applyBorder="1" applyAlignment="1">
      <alignment horizontal="center" wrapText="1"/>
    </xf>
    <xf numFmtId="0" fontId="6" fillId="0" borderId="0" xfId="14" applyNumberFormat="1" applyFont="1" applyFill="1" applyBorder="1" applyAlignment="1" applyProtection="1">
      <alignment horizontal="center" vertical="center" wrapText="1"/>
    </xf>
    <xf numFmtId="164" fontId="29" fillId="0" borderId="0" xfId="15" applyNumberFormat="1" applyFont="1" applyFill="1" applyBorder="1"/>
    <xf numFmtId="164" fontId="26" fillId="15" borderId="0" xfId="15" applyNumberFormat="1" applyFont="1" applyFill="1" applyBorder="1"/>
    <xf numFmtId="164" fontId="26" fillId="10" borderId="0" xfId="15" applyNumberFormat="1" applyFont="1" applyFill="1" applyBorder="1"/>
    <xf numFmtId="164" fontId="9" fillId="15" borderId="0" xfId="15" applyNumberFormat="1" applyFont="1" applyFill="1" applyBorder="1"/>
    <xf numFmtId="164" fontId="29" fillId="15" borderId="0" xfId="15" applyNumberFormat="1" applyFont="1" applyFill="1" applyBorder="1"/>
    <xf numFmtId="164" fontId="29" fillId="9" borderId="0" xfId="15" applyNumberFormat="1" applyFont="1" applyFill="1" applyBorder="1"/>
    <xf numFmtId="164" fontId="26" fillId="0" borderId="0" xfId="15" applyNumberFormat="1" applyFont="1" applyBorder="1"/>
    <xf numFmtId="164" fontId="9" fillId="0" borderId="0" xfId="15" applyNumberFormat="1" applyFont="1" applyBorder="1"/>
    <xf numFmtId="164" fontId="8" fillId="0" borderId="0" xfId="15" applyNumberFormat="1" applyFont="1" applyBorder="1"/>
    <xf numFmtId="164" fontId="26" fillId="18" borderId="0" xfId="15" applyNumberFormat="1" applyFont="1" applyFill="1" applyBorder="1"/>
    <xf numFmtId="164" fontId="26" fillId="0" borderId="0" xfId="15" applyNumberFormat="1" applyFont="1" applyFill="1" applyBorder="1"/>
    <xf numFmtId="164" fontId="8" fillId="9" borderId="0" xfId="15" applyNumberFormat="1" applyFont="1" applyFill="1" applyBorder="1"/>
    <xf numFmtId="164" fontId="3" fillId="18" borderId="0" xfId="15" applyNumberFormat="1" applyFont="1" applyFill="1" applyBorder="1"/>
    <xf numFmtId="164" fontId="3" fillId="0" borderId="0" xfId="15" applyNumberFormat="1" applyFont="1" applyFill="1" applyBorder="1"/>
    <xf numFmtId="164" fontId="11" fillId="6" borderId="0" xfId="0" applyNumberFormat="1" applyFont="1" applyFill="1" applyBorder="1"/>
    <xf numFmtId="4" fontId="8" fillId="0" borderId="0" xfId="0" applyNumberFormat="1" applyFont="1" applyFill="1" applyBorder="1"/>
    <xf numFmtId="164" fontId="27" fillId="10" borderId="0" xfId="15" applyNumberFormat="1" applyFont="1" applyFill="1" applyBorder="1"/>
    <xf numFmtId="164" fontId="13" fillId="18" borderId="0" xfId="15" applyNumberFormat="1" applyFont="1" applyFill="1" applyBorder="1"/>
    <xf numFmtId="164" fontId="13" fillId="4" borderId="0" xfId="15" applyNumberFormat="1" applyFont="1" applyFill="1" applyBorder="1"/>
    <xf numFmtId="164" fontId="3" fillId="10" borderId="0" xfId="15" applyNumberFormat="1" applyFont="1" applyFill="1" applyBorder="1"/>
    <xf numFmtId="164" fontId="30" fillId="10" borderId="0" xfId="15" applyNumberFormat="1" applyFont="1" applyFill="1" applyBorder="1"/>
    <xf numFmtId="164" fontId="5" fillId="16" borderId="0" xfId="0" applyNumberFormat="1" applyFont="1" applyFill="1" applyBorder="1"/>
    <xf numFmtId="164" fontId="23" fillId="10" borderId="0" xfId="15" applyNumberFormat="1" applyFont="1" applyFill="1" applyBorder="1" applyAlignment="1">
      <alignment horizontal="right"/>
    </xf>
    <xf numFmtId="164" fontId="23" fillId="10" borderId="0" xfId="15" applyNumberFormat="1" applyFont="1" applyFill="1" applyBorder="1"/>
    <xf numFmtId="166" fontId="8" fillId="10" borderId="0" xfId="0" applyNumberFormat="1" applyFont="1" applyFill="1" applyBorder="1" applyAlignment="1">
      <alignment horizontal="right"/>
    </xf>
    <xf numFmtId="166" fontId="29" fillId="10" borderId="0" xfId="15" applyNumberFormat="1" applyFont="1" applyFill="1" applyBorder="1"/>
    <xf numFmtId="4" fontId="8" fillId="0" borderId="0" xfId="15" applyNumberFormat="1" applyFont="1" applyFill="1" applyBorder="1"/>
    <xf numFmtId="2" fontId="8" fillId="0" borderId="0" xfId="15" applyNumberFormat="1" applyFont="1" applyFill="1" applyBorder="1"/>
    <xf numFmtId="164" fontId="9" fillId="19" borderId="0" xfId="15" applyNumberFormat="1" applyFont="1" applyFill="1" applyBorder="1"/>
    <xf numFmtId="164" fontId="9" fillId="17" borderId="0" xfId="0" applyNumberFormat="1" applyFont="1" applyFill="1" applyBorder="1"/>
    <xf numFmtId="2" fontId="9" fillId="19" borderId="0" xfId="17" applyNumberFormat="1" applyFont="1" applyFill="1" applyBorder="1"/>
    <xf numFmtId="3" fontId="9" fillId="0" borderId="0" xfId="15" applyNumberFormat="1" applyFont="1" applyBorder="1"/>
    <xf numFmtId="2" fontId="9" fillId="0" borderId="0" xfId="17" applyNumberFormat="1" applyFont="1" applyBorder="1"/>
    <xf numFmtId="0" fontId="6" fillId="0" borderId="0" xfId="15" applyFont="1" applyBorder="1" applyAlignment="1">
      <alignment horizontal="center"/>
    </xf>
    <xf numFmtId="164" fontId="16" fillId="0" borderId="152" xfId="0" applyNumberFormat="1" applyFont="1" applyBorder="1" applyAlignment="1">
      <alignment horizontal="right"/>
    </xf>
    <xf numFmtId="164" fontId="16" fillId="0" borderId="153" xfId="0" applyNumberFormat="1" applyFont="1" applyBorder="1" applyAlignment="1">
      <alignment horizontal="right"/>
    </xf>
    <xf numFmtId="164" fontId="16" fillId="0" borderId="154" xfId="0" applyNumberFormat="1" applyFont="1" applyBorder="1" applyAlignment="1">
      <alignment horizontal="right"/>
    </xf>
    <xf numFmtId="164" fontId="16" fillId="0" borderId="155" xfId="0" applyNumberFormat="1" applyFont="1" applyBorder="1" applyAlignment="1">
      <alignment horizontal="right"/>
    </xf>
    <xf numFmtId="4" fontId="23" fillId="10" borderId="92" xfId="15" applyNumberFormat="1" applyFont="1" applyFill="1" applyBorder="1"/>
    <xf numFmtId="165" fontId="8" fillId="9" borderId="92" xfId="15" applyNumberFormat="1" applyFont="1" applyFill="1" applyBorder="1"/>
    <xf numFmtId="165" fontId="8" fillId="0" borderId="92" xfId="15" applyNumberFormat="1" applyFont="1" applyBorder="1"/>
    <xf numFmtId="165" fontId="17" fillId="0" borderId="95" xfId="15" applyNumberFormat="1" applyFont="1" applyBorder="1" applyAlignment="1">
      <alignment horizontal="right"/>
    </xf>
    <xf numFmtId="165" fontId="17" fillId="0" borderId="93" xfId="15" applyNumberFormat="1" applyFont="1" applyBorder="1" applyAlignment="1">
      <alignment horizontal="right"/>
    </xf>
    <xf numFmtId="0" fontId="6" fillId="0" borderId="113" xfId="14" applyNumberFormat="1" applyFont="1" applyFill="1" applyBorder="1" applyAlignment="1" applyProtection="1">
      <alignment horizontal="center" vertical="center" wrapText="1"/>
    </xf>
    <xf numFmtId="165" fontId="14" fillId="0" borderId="92" xfId="15" applyNumberFormat="1" applyFont="1" applyFill="1" applyBorder="1"/>
    <xf numFmtId="165" fontId="9" fillId="17" borderId="92" xfId="0" applyNumberFormat="1" applyFont="1" applyFill="1" applyBorder="1"/>
    <xf numFmtId="165" fontId="14" fillId="0" borderId="13" xfId="0" applyNumberFormat="1" applyFont="1" applyFill="1" applyBorder="1"/>
    <xf numFmtId="165" fontId="3" fillId="10" borderId="92" xfId="15" applyNumberFormat="1" applyFont="1" applyFill="1" applyBorder="1"/>
    <xf numFmtId="165" fontId="3" fillId="10" borderId="0" xfId="15" applyNumberFormat="1" applyFont="1" applyFill="1"/>
    <xf numFmtId="165" fontId="8" fillId="0" borderId="92" xfId="0" applyNumberFormat="1" applyFont="1" applyFill="1" applyBorder="1" applyAlignment="1">
      <alignment horizontal="right"/>
    </xf>
    <xf numFmtId="4" fontId="74" fillId="0" borderId="92" xfId="0" applyNumberFormat="1" applyFont="1" applyFill="1" applyBorder="1"/>
    <xf numFmtId="4" fontId="75" fillId="16" borderId="92" xfId="0" applyNumberFormat="1" applyFont="1" applyFill="1" applyBorder="1"/>
    <xf numFmtId="4" fontId="27" fillId="0" borderId="92" xfId="0" applyNumberFormat="1" applyFont="1" applyFill="1" applyBorder="1"/>
    <xf numFmtId="4" fontId="75" fillId="0" borderId="92" xfId="0" applyNumberFormat="1" applyFont="1" applyFill="1" applyBorder="1"/>
    <xf numFmtId="165" fontId="27" fillId="10" borderId="92" xfId="0" applyNumberFormat="1" applyFont="1" applyFill="1" applyBorder="1"/>
    <xf numFmtId="4" fontId="9" fillId="19" borderId="92" xfId="15" applyNumberFormat="1" applyFont="1" applyFill="1" applyBorder="1"/>
    <xf numFmtId="164" fontId="90" fillId="4" borderId="130" xfId="23" applyNumberFormat="1" applyFont="1" applyFill="1" applyBorder="1" applyAlignment="1" applyProtection="1">
      <alignment horizontal="right" vertical="center"/>
    </xf>
    <xf numFmtId="164" fontId="27" fillId="16" borderId="92" xfId="0" applyNumberFormat="1" applyFont="1" applyFill="1" applyBorder="1"/>
    <xf numFmtId="164" fontId="75" fillId="12" borderId="92" xfId="0" applyNumberFormat="1" applyFont="1" applyFill="1" applyBorder="1"/>
    <xf numFmtId="165" fontId="27" fillId="16" borderId="92" xfId="0" applyNumberFormat="1" applyFont="1" applyFill="1" applyBorder="1"/>
    <xf numFmtId="180" fontId="3" fillId="0" borderId="0" xfId="0" applyNumberFormat="1" applyFont="1"/>
    <xf numFmtId="166" fontId="3" fillId="0" borderId="0" xfId="0" applyNumberFormat="1" applyFont="1"/>
    <xf numFmtId="165" fontId="10" fillId="0" borderId="92" xfId="0" applyNumberFormat="1" applyFont="1" applyFill="1" applyBorder="1" applyAlignment="1">
      <alignment horizontal="right"/>
    </xf>
    <xf numFmtId="165" fontId="10" fillId="0" borderId="92" xfId="0" applyNumberFormat="1" applyFont="1" applyFill="1" applyBorder="1"/>
    <xf numFmtId="165" fontId="32" fillId="10" borderId="92" xfId="15" applyNumberFormat="1" applyFont="1" applyFill="1" applyBorder="1"/>
    <xf numFmtId="164" fontId="27" fillId="15" borderId="92" xfId="0" applyNumberFormat="1" applyFont="1" applyFill="1" applyBorder="1"/>
    <xf numFmtId="164" fontId="91" fillId="8" borderId="92" xfId="0" applyNumberFormat="1" applyFont="1" applyFill="1" applyBorder="1"/>
    <xf numFmtId="164" fontId="91" fillId="12" borderId="92" xfId="0" applyNumberFormat="1" applyFont="1" applyFill="1" applyBorder="1"/>
    <xf numFmtId="164" fontId="27" fillId="12" borderId="92" xfId="0" applyNumberFormat="1" applyFont="1" applyFill="1" applyBorder="1"/>
    <xf numFmtId="186" fontId="3" fillId="0" borderId="0" xfId="0" applyNumberFormat="1" applyFont="1"/>
    <xf numFmtId="187" fontId="3" fillId="0" borderId="0" xfId="0" applyNumberFormat="1" applyFont="1"/>
    <xf numFmtId="164" fontId="75" fillId="0" borderId="92" xfId="0" applyNumberFormat="1" applyFont="1" applyFill="1" applyBorder="1"/>
    <xf numFmtId="164" fontId="5" fillId="0" borderId="0" xfId="0" applyNumberFormat="1" applyFont="1"/>
    <xf numFmtId="165" fontId="17" fillId="0" borderId="90" xfId="15" applyNumberFormat="1" applyFont="1" applyBorder="1" applyAlignment="1">
      <alignment horizontal="right"/>
    </xf>
    <xf numFmtId="165" fontId="17" fillId="0" borderId="89" xfId="15" applyNumberFormat="1" applyFont="1" applyBorder="1" applyAlignment="1">
      <alignment horizontal="right"/>
    </xf>
    <xf numFmtId="165" fontId="17" fillId="0" borderId="4" xfId="15" applyNumberFormat="1" applyFont="1" applyBorder="1" applyAlignment="1">
      <alignment horizontal="right"/>
    </xf>
    <xf numFmtId="164" fontId="92" fillId="10" borderId="92" xfId="15" applyNumberFormat="1" applyFont="1" applyFill="1" applyBorder="1"/>
    <xf numFmtId="2" fontId="17" fillId="0" borderId="165" xfId="15" applyNumberFormat="1" applyFont="1" applyBorder="1" applyAlignment="1">
      <alignment horizontal="right"/>
    </xf>
    <xf numFmtId="2" fontId="17" fillId="0" borderId="58" xfId="15" applyNumberFormat="1" applyFont="1" applyBorder="1" applyAlignment="1">
      <alignment horizontal="right"/>
    </xf>
    <xf numFmtId="4" fontId="5" fillId="0" borderId="0" xfId="0" applyNumberFormat="1" applyFont="1"/>
    <xf numFmtId="165" fontId="75" fillId="12" borderId="92" xfId="0" applyNumberFormat="1" applyFont="1" applyFill="1" applyBorder="1"/>
    <xf numFmtId="165" fontId="3" fillId="12" borderId="92" xfId="0" applyNumberFormat="1" applyFont="1" applyFill="1" applyBorder="1"/>
    <xf numFmtId="165" fontId="3" fillId="11" borderId="92" xfId="0" applyNumberFormat="1" applyFont="1" applyFill="1" applyBorder="1"/>
    <xf numFmtId="3" fontId="9" fillId="0" borderId="0" xfId="0" applyNumberFormat="1" applyFont="1"/>
    <xf numFmtId="165" fontId="9" fillId="0" borderId="0" xfId="0" applyNumberFormat="1" applyFont="1"/>
    <xf numFmtId="4" fontId="20" fillId="0" borderId="42" xfId="0" applyNumberFormat="1" applyFont="1" applyBorder="1" applyAlignment="1">
      <alignment horizontal="right"/>
    </xf>
    <xf numFmtId="165" fontId="17" fillId="0" borderId="27" xfId="0" applyNumberFormat="1" applyFont="1" applyBorder="1" applyAlignment="1">
      <alignment horizontal="right"/>
    </xf>
    <xf numFmtId="4" fontId="17" fillId="0" borderId="94" xfId="15" applyNumberFormat="1" applyFont="1" applyBorder="1" applyAlignment="1">
      <alignment horizontal="right"/>
    </xf>
    <xf numFmtId="3" fontId="93" fillId="21" borderId="92" xfId="0" applyNumberFormat="1" applyFont="1" applyFill="1" applyBorder="1"/>
    <xf numFmtId="164" fontId="93" fillId="21" borderId="92" xfId="0" applyNumberFormat="1" applyFont="1" applyFill="1" applyBorder="1"/>
    <xf numFmtId="180" fontId="3" fillId="0" borderId="92" xfId="0" applyNumberFormat="1" applyFont="1" applyFill="1" applyBorder="1"/>
    <xf numFmtId="4" fontId="49" fillId="16" borderId="92" xfId="0" applyNumberFormat="1" applyFont="1" applyFill="1" applyBorder="1"/>
    <xf numFmtId="164" fontId="94" fillId="0" borderId="92" xfId="0" applyNumberFormat="1" applyFont="1" applyFill="1" applyBorder="1"/>
    <xf numFmtId="164" fontId="95" fillId="12" borderId="92" xfId="0" applyNumberFormat="1" applyFont="1" applyFill="1" applyBorder="1"/>
    <xf numFmtId="4" fontId="92" fillId="10" borderId="92" xfId="15" applyNumberFormat="1" applyFont="1" applyFill="1" applyBorder="1"/>
    <xf numFmtId="168" fontId="3" fillId="0" borderId="3" xfId="0" applyNumberFormat="1" applyFont="1" applyBorder="1"/>
    <xf numFmtId="165" fontId="30" fillId="10" borderId="92" xfId="15" applyNumberFormat="1" applyFont="1" applyFill="1" applyBorder="1"/>
    <xf numFmtId="4" fontId="9" fillId="17" borderId="92" xfId="0" applyNumberFormat="1" applyFont="1" applyFill="1" applyBorder="1" applyAlignment="1">
      <alignment horizontal="right"/>
    </xf>
    <xf numFmtId="164" fontId="95" fillId="8" borderId="92" xfId="0" applyNumberFormat="1" applyFont="1" applyFill="1" applyBorder="1"/>
    <xf numFmtId="4" fontId="96" fillId="10" borderId="92" xfId="0" applyNumberFormat="1" applyFont="1" applyFill="1" applyBorder="1"/>
    <xf numFmtId="164" fontId="17" fillId="0" borderId="93" xfId="15" applyNumberFormat="1" applyFont="1" applyBorder="1" applyAlignment="1">
      <alignment horizontal="right"/>
    </xf>
    <xf numFmtId="165" fontId="93" fillId="21" borderId="92" xfId="0" applyNumberFormat="1" applyFont="1" applyFill="1" applyBorder="1"/>
    <xf numFmtId="164" fontId="9" fillId="21" borderId="92" xfId="0" applyNumberFormat="1" applyFont="1" applyFill="1" applyBorder="1"/>
    <xf numFmtId="3" fontId="17" fillId="0" borderId="95" xfId="15" applyNumberFormat="1" applyFont="1" applyBorder="1" applyAlignment="1">
      <alignment horizontal="right"/>
    </xf>
    <xf numFmtId="3" fontId="17" fillId="0" borderId="93" xfId="15" applyNumberFormat="1" applyFont="1" applyBorder="1" applyAlignment="1">
      <alignment horizontal="right"/>
    </xf>
    <xf numFmtId="4" fontId="27" fillId="4" borderId="92" xfId="0" applyNumberFormat="1" applyFont="1" applyFill="1" applyBorder="1"/>
    <xf numFmtId="4" fontId="27" fillId="15" borderId="92" xfId="0" applyNumberFormat="1" applyFont="1" applyFill="1" applyBorder="1"/>
    <xf numFmtId="164" fontId="27" fillId="13" borderId="92" xfId="0" applyNumberFormat="1" applyFont="1" applyFill="1" applyBorder="1"/>
    <xf numFmtId="165" fontId="91" fillId="0" borderId="92" xfId="0" applyNumberFormat="1" applyFont="1" applyFill="1" applyBorder="1"/>
    <xf numFmtId="4" fontId="27" fillId="11" borderId="92" xfId="0" applyNumberFormat="1" applyFont="1" applyFill="1" applyBorder="1"/>
    <xf numFmtId="164" fontId="97" fillId="12" borderId="92" xfId="0" applyNumberFormat="1" applyFont="1" applyFill="1" applyBorder="1"/>
    <xf numFmtId="164" fontId="91" fillId="14" borderId="92" xfId="0" applyNumberFormat="1" applyFont="1" applyFill="1" applyBorder="1"/>
    <xf numFmtId="164" fontId="91" fillId="20" borderId="92" xfId="0" applyNumberFormat="1" applyFont="1" applyFill="1" applyBorder="1"/>
    <xf numFmtId="164" fontId="91" fillId="21" borderId="92" xfId="0" applyNumberFormat="1" applyFont="1" applyFill="1" applyBorder="1"/>
    <xf numFmtId="4" fontId="91" fillId="8" borderId="92" xfId="0" applyNumberFormat="1" applyFont="1" applyFill="1" applyBorder="1"/>
    <xf numFmtId="4" fontId="91" fillId="12" borderId="92" xfId="0" applyNumberFormat="1" applyFont="1" applyFill="1" applyBorder="1"/>
    <xf numFmtId="4" fontId="27" fillId="12" borderId="92" xfId="0" applyNumberFormat="1" applyFont="1" applyFill="1" applyBorder="1"/>
    <xf numFmtId="4" fontId="91" fillId="22" borderId="92" xfId="0" applyNumberFormat="1" applyFont="1" applyFill="1" applyBorder="1"/>
    <xf numFmtId="4" fontId="91" fillId="21" borderId="92" xfId="0" applyNumberFormat="1" applyFont="1" applyFill="1" applyBorder="1"/>
    <xf numFmtId="164" fontId="91" fillId="22" borderId="92" xfId="0" applyNumberFormat="1" applyFont="1" applyFill="1" applyBorder="1"/>
    <xf numFmtId="4" fontId="98" fillId="10" borderId="92" xfId="0" applyNumberFormat="1" applyFont="1" applyFill="1" applyBorder="1"/>
    <xf numFmtId="165" fontId="9" fillId="11" borderId="92" xfId="0" applyNumberFormat="1" applyFont="1" applyFill="1" applyBorder="1"/>
    <xf numFmtId="0" fontId="3" fillId="59" borderId="0" xfId="0" applyFont="1" applyFill="1"/>
    <xf numFmtId="0" fontId="3" fillId="59" borderId="0" xfId="0" applyNumberFormat="1" applyFont="1" applyFill="1" applyAlignment="1">
      <alignment horizontal="center"/>
    </xf>
    <xf numFmtId="0" fontId="6" fillId="59" borderId="6" xfId="13" applyNumberFormat="1" applyFont="1" applyFill="1" applyBorder="1" applyAlignment="1" applyProtection="1">
      <alignment horizontal="center" vertical="center" wrapText="1"/>
    </xf>
    <xf numFmtId="0" fontId="6" fillId="59" borderId="7" xfId="13" applyNumberFormat="1" applyFont="1" applyFill="1" applyBorder="1" applyAlignment="1" applyProtection="1">
      <alignment horizontal="center" vertical="center" wrapText="1"/>
    </xf>
    <xf numFmtId="0" fontId="6" fillId="59" borderId="112" xfId="13" applyNumberFormat="1" applyFont="1" applyFill="1" applyBorder="1" applyAlignment="1" applyProtection="1">
      <alignment vertical="center" wrapText="1"/>
    </xf>
    <xf numFmtId="0" fontId="8" fillId="59" borderId="92" xfId="0" applyFont="1" applyFill="1" applyBorder="1"/>
    <xf numFmtId="164" fontId="8" fillId="59" borderId="92" xfId="0" applyNumberFormat="1" applyFont="1" applyFill="1" applyBorder="1"/>
    <xf numFmtId="164" fontId="3" fillId="59" borderId="92" xfId="0" applyNumberFormat="1" applyFont="1" applyFill="1" applyBorder="1"/>
    <xf numFmtId="0" fontId="9" fillId="59" borderId="92" xfId="0" applyFont="1" applyFill="1" applyBorder="1"/>
    <xf numFmtId="0" fontId="9" fillId="59" borderId="92" xfId="0" applyFont="1" applyFill="1" applyBorder="1" applyAlignment="1">
      <alignment horizontal="left" indent="2"/>
    </xf>
    <xf numFmtId="164" fontId="9" fillId="59" borderId="92" xfId="0" applyNumberFormat="1" applyFont="1" applyFill="1" applyBorder="1"/>
    <xf numFmtId="164" fontId="8" fillId="60" borderId="92" xfId="0" applyNumberFormat="1" applyFont="1" applyFill="1" applyBorder="1"/>
    <xf numFmtId="0" fontId="8" fillId="61" borderId="92" xfId="0" applyFont="1" applyFill="1" applyBorder="1"/>
    <xf numFmtId="164" fontId="8" fillId="61" borderId="92" xfId="0" applyNumberFormat="1" applyFont="1" applyFill="1" applyBorder="1"/>
    <xf numFmtId="0" fontId="7" fillId="61" borderId="111" xfId="0" applyFont="1" applyFill="1" applyBorder="1" applyAlignment="1">
      <alignment horizontal="center" vertical="center" textRotation="90"/>
    </xf>
    <xf numFmtId="0" fontId="5" fillId="61" borderId="92" xfId="0" applyFont="1" applyFill="1" applyBorder="1"/>
    <xf numFmtId="164" fontId="5" fillId="61" borderId="92" xfId="0" applyNumberFormat="1" applyFont="1" applyFill="1" applyBorder="1"/>
    <xf numFmtId="4" fontId="8" fillId="59" borderId="92" xfId="0" applyNumberFormat="1" applyFont="1" applyFill="1" applyBorder="1"/>
    <xf numFmtId="4" fontId="8" fillId="59" borderId="92" xfId="0" applyNumberFormat="1" applyFont="1" applyFill="1" applyBorder="1" applyAlignment="1">
      <alignment horizontal="right"/>
    </xf>
    <xf numFmtId="165" fontId="8" fillId="59" borderId="92" xfId="0" applyNumberFormat="1" applyFont="1" applyFill="1" applyBorder="1" applyAlignment="1">
      <alignment horizontal="right"/>
    </xf>
    <xf numFmtId="165" fontId="8" fillId="59" borderId="92" xfId="0" applyNumberFormat="1" applyFont="1" applyFill="1" applyBorder="1"/>
    <xf numFmtId="3" fontId="3" fillId="59" borderId="92" xfId="0" applyNumberFormat="1" applyFont="1" applyFill="1" applyBorder="1"/>
    <xf numFmtId="164" fontId="9" fillId="59" borderId="92" xfId="15" applyNumberFormat="1" applyFont="1" applyFill="1" applyBorder="1"/>
    <xf numFmtId="0" fontId="8" fillId="59" borderId="92" xfId="0" applyFont="1" applyFill="1" applyBorder="1" applyAlignment="1">
      <alignment vertical="center"/>
    </xf>
    <xf numFmtId="2" fontId="8" fillId="59" borderId="92" xfId="15" applyNumberFormat="1" applyFont="1" applyFill="1" applyBorder="1"/>
    <xf numFmtId="0" fontId="9" fillId="62" borderId="92" xfId="0" applyFont="1" applyFill="1" applyBorder="1" applyAlignment="1">
      <alignment vertical="center"/>
    </xf>
    <xf numFmtId="0" fontId="9" fillId="62" borderId="92" xfId="0" applyFont="1" applyFill="1" applyBorder="1"/>
    <xf numFmtId="164" fontId="9" fillId="62" borderId="92" xfId="0" applyNumberFormat="1" applyFont="1" applyFill="1" applyBorder="1" applyAlignment="1">
      <alignment horizontal="right"/>
    </xf>
    <xf numFmtId="4" fontId="3" fillId="59" borderId="92" xfId="0" applyNumberFormat="1" applyFont="1" applyFill="1" applyBorder="1" applyAlignment="1">
      <alignment horizontal="right"/>
    </xf>
    <xf numFmtId="0" fontId="9" fillId="59" borderId="92" xfId="0" applyNumberFormat="1" applyFont="1" applyFill="1" applyBorder="1" applyAlignment="1">
      <alignment horizontal="left"/>
    </xf>
    <xf numFmtId="164" fontId="9" fillId="59" borderId="92" xfId="0" applyNumberFormat="1" applyFont="1" applyFill="1" applyBorder="1" applyAlignment="1">
      <alignment horizontal="right"/>
    </xf>
    <xf numFmtId="166" fontId="9" fillId="59" borderId="92" xfId="0" applyNumberFormat="1" applyFont="1" applyFill="1" applyBorder="1" applyAlignment="1">
      <alignment horizontal="right"/>
    </xf>
    <xf numFmtId="166" fontId="9" fillId="59" borderId="92" xfId="15" applyNumberFormat="1" applyFont="1" applyFill="1" applyBorder="1" applyAlignment="1">
      <alignment horizontal="right"/>
    </xf>
    <xf numFmtId="0" fontId="9" fillId="62" borderId="92" xfId="0" applyNumberFormat="1" applyFont="1" applyFill="1" applyBorder="1" applyAlignment="1">
      <alignment horizontal="left"/>
    </xf>
    <xf numFmtId="3" fontId="9" fillId="62" borderId="92" xfId="0" applyNumberFormat="1" applyFont="1" applyFill="1" applyBorder="1" applyAlignment="1">
      <alignment horizontal="right"/>
    </xf>
    <xf numFmtId="2" fontId="9" fillId="59" borderId="92" xfId="17" applyNumberFormat="1" applyFont="1" applyFill="1" applyBorder="1"/>
    <xf numFmtId="49" fontId="9" fillId="62" borderId="92" xfId="0" applyNumberFormat="1" applyFont="1" applyFill="1" applyBorder="1" applyAlignment="1">
      <alignment horizontal="left"/>
    </xf>
    <xf numFmtId="49" fontId="9" fillId="59" borderId="92" xfId="0" applyNumberFormat="1" applyFont="1" applyFill="1" applyBorder="1" applyAlignment="1">
      <alignment horizontal="left"/>
    </xf>
    <xf numFmtId="164" fontId="27" fillId="59" borderId="92" xfId="0" applyNumberFormat="1" applyFont="1" applyFill="1" applyBorder="1"/>
    <xf numFmtId="164" fontId="27" fillId="60" borderId="92" xfId="0" applyNumberFormat="1" applyFont="1" applyFill="1" applyBorder="1"/>
    <xf numFmtId="164" fontId="27" fillId="61" borderId="92" xfId="0" applyNumberFormat="1" applyFont="1" applyFill="1" applyBorder="1"/>
    <xf numFmtId="4" fontId="27" fillId="59" borderId="92" xfId="0" applyNumberFormat="1" applyFont="1" applyFill="1" applyBorder="1"/>
    <xf numFmtId="164" fontId="27" fillId="59" borderId="92" xfId="0" applyNumberFormat="1" applyFont="1" applyFill="1" applyBorder="1" applyAlignment="1">
      <alignment horizontal="right"/>
    </xf>
    <xf numFmtId="165" fontId="27" fillId="59" borderId="92" xfId="0" applyNumberFormat="1" applyFont="1" applyFill="1" applyBorder="1" applyAlignment="1">
      <alignment horizontal="right"/>
    </xf>
    <xf numFmtId="165" fontId="27" fillId="59" borderId="92" xfId="0" applyNumberFormat="1" applyFont="1" applyFill="1" applyBorder="1"/>
    <xf numFmtId="2" fontId="27" fillId="59" borderId="92" xfId="15" applyNumberFormat="1" applyFont="1" applyFill="1" applyBorder="1"/>
    <xf numFmtId="164" fontId="27" fillId="62" borderId="92" xfId="0" applyNumberFormat="1" applyFont="1" applyFill="1" applyBorder="1" applyAlignment="1">
      <alignment horizontal="right"/>
    </xf>
    <xf numFmtId="4" fontId="27" fillId="59" borderId="92" xfId="0" applyNumberFormat="1" applyFont="1" applyFill="1" applyBorder="1" applyAlignment="1">
      <alignment horizontal="right"/>
    </xf>
    <xf numFmtId="166" fontId="27" fillId="59" borderId="92" xfId="0" applyNumberFormat="1" applyFont="1" applyFill="1" applyBorder="1" applyAlignment="1">
      <alignment horizontal="right"/>
    </xf>
    <xf numFmtId="166" fontId="27" fillId="59" borderId="92" xfId="15" applyNumberFormat="1" applyFont="1" applyFill="1" applyBorder="1" applyAlignment="1">
      <alignment horizontal="right"/>
    </xf>
    <xf numFmtId="2" fontId="27" fillId="59" borderId="92" xfId="17" applyNumberFormat="1" applyFont="1" applyFill="1" applyBorder="1"/>
    <xf numFmtId="0" fontId="28" fillId="0" borderId="122" xfId="15" applyFont="1" applyBorder="1" applyAlignment="1">
      <alignment horizontal="center" vertical="center" textRotation="90"/>
    </xf>
    <xf numFmtId="0" fontId="28" fillId="0" borderId="108" xfId="15" applyFont="1" applyBorder="1" applyAlignment="1">
      <alignment horizontal="center" vertical="center" textRotation="90"/>
    </xf>
    <xf numFmtId="0" fontId="28" fillId="0" borderId="53" xfId="15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6" fillId="0" borderId="51" xfId="14" applyNumberFormat="1" applyFont="1" applyFill="1" applyBorder="1" applyAlignment="1" applyProtection="1">
      <alignment horizontal="center" vertical="center" wrapText="1"/>
    </xf>
    <xf numFmtId="0" fontId="6" fillId="0" borderId="86" xfId="14" applyNumberFormat="1" applyFont="1" applyFill="1" applyBorder="1" applyAlignment="1" applyProtection="1">
      <alignment horizontal="center" vertical="center" wrapText="1"/>
    </xf>
    <xf numFmtId="0" fontId="6" fillId="0" borderId="120" xfId="14" applyNumberFormat="1" applyFont="1" applyFill="1" applyBorder="1" applyAlignment="1" applyProtection="1">
      <alignment horizontal="center" vertical="center" wrapText="1"/>
    </xf>
    <xf numFmtId="0" fontId="6" fillId="0" borderId="87" xfId="14" applyNumberFormat="1" applyFont="1" applyFill="1" applyBorder="1" applyAlignment="1" applyProtection="1">
      <alignment horizontal="center" vertical="center" wrapText="1"/>
    </xf>
    <xf numFmtId="0" fontId="27" fillId="0" borderId="88" xfId="15" applyFont="1" applyBorder="1" applyAlignment="1">
      <alignment horizontal="center" vertical="center" wrapText="1"/>
    </xf>
    <xf numFmtId="0" fontId="27" fillId="0" borderId="108" xfId="15" applyFont="1" applyBorder="1" applyAlignment="1"/>
    <xf numFmtId="0" fontId="6" fillId="0" borderId="4" xfId="14" applyNumberFormat="1" applyFont="1" applyFill="1" applyBorder="1" applyAlignment="1" applyProtection="1">
      <alignment horizontal="center" vertical="center" wrapText="1"/>
    </xf>
    <xf numFmtId="0" fontId="6" fillId="0" borderId="123" xfId="14" applyNumberFormat="1" applyFont="1" applyFill="1" applyBorder="1" applyAlignment="1" applyProtection="1">
      <alignment horizontal="center" vertical="center" wrapText="1"/>
    </xf>
    <xf numFmtId="0" fontId="6" fillId="0" borderId="5" xfId="14" applyNumberFormat="1" applyFont="1" applyFill="1" applyBorder="1" applyAlignment="1" applyProtection="1">
      <alignment horizontal="center" vertical="center" wrapText="1"/>
    </xf>
    <xf numFmtId="0" fontId="6" fillId="0" borderId="117" xfId="14" applyNumberFormat="1" applyFont="1" applyFill="1" applyBorder="1" applyAlignment="1" applyProtection="1">
      <alignment horizontal="center" vertical="center" wrapText="1"/>
    </xf>
    <xf numFmtId="0" fontId="6" fillId="0" borderId="118" xfId="14" applyNumberFormat="1" applyFont="1" applyFill="1" applyBorder="1" applyAlignment="1" applyProtection="1">
      <alignment horizontal="center" vertical="center" wrapText="1"/>
    </xf>
    <xf numFmtId="0" fontId="6" fillId="0" borderId="89" xfId="14" applyNumberFormat="1" applyFont="1" applyFill="1" applyBorder="1" applyAlignment="1" applyProtection="1">
      <alignment horizontal="center" vertical="center" wrapText="1"/>
    </xf>
    <xf numFmtId="0" fontId="6" fillId="0" borderId="54" xfId="14" applyNumberFormat="1" applyFont="1" applyFill="1" applyBorder="1" applyAlignment="1" applyProtection="1">
      <alignment horizontal="center" vertical="center" wrapText="1"/>
    </xf>
    <xf numFmtId="0" fontId="6" fillId="0" borderId="119" xfId="14" applyNumberFormat="1" applyFont="1" applyFill="1" applyBorder="1" applyAlignment="1" applyProtection="1">
      <alignment horizontal="center" vertical="center" wrapText="1"/>
    </xf>
    <xf numFmtId="49" fontId="22" fillId="15" borderId="0" xfId="15" applyNumberFormat="1" applyFont="1" applyFill="1" applyBorder="1" applyAlignment="1">
      <alignment horizontal="center" wrapText="1"/>
    </xf>
    <xf numFmtId="0" fontId="6" fillId="0" borderId="114" xfId="14" applyNumberFormat="1" applyFont="1" applyFill="1" applyBorder="1" applyAlignment="1" applyProtection="1">
      <alignment horizontal="center" vertical="center" wrapText="1"/>
    </xf>
    <xf numFmtId="0" fontId="6" fillId="0" borderId="55" xfId="14" applyNumberFormat="1" applyFont="1" applyFill="1" applyBorder="1" applyAlignment="1" applyProtection="1">
      <alignment horizontal="center" vertical="center" wrapText="1"/>
    </xf>
    <xf numFmtId="0" fontId="6" fillId="0" borderId="3" xfId="14" applyNumberFormat="1" applyFont="1" applyFill="1" applyBorder="1" applyAlignment="1" applyProtection="1">
      <alignment horizontal="center" vertical="center" wrapText="1"/>
    </xf>
    <xf numFmtId="0" fontId="27" fillId="0" borderId="88" xfId="15" applyNumberFormat="1" applyFont="1" applyBorder="1" applyAlignment="1">
      <alignment horizontal="center" vertical="center" wrapText="1"/>
    </xf>
    <xf numFmtId="0" fontId="27" fillId="0" borderId="108" xfId="15" applyFont="1" applyBorder="1" applyAlignment="1">
      <alignment horizontal="center"/>
    </xf>
    <xf numFmtId="0" fontId="15" fillId="0" borderId="115" xfId="14" applyNumberFormat="1" applyFont="1" applyFill="1" applyBorder="1" applyAlignment="1" applyProtection="1">
      <alignment horizontal="center" vertical="top"/>
    </xf>
    <xf numFmtId="0" fontId="15" fillId="0" borderId="116" xfId="14" applyNumberFormat="1" applyFont="1" applyFill="1" applyBorder="1" applyAlignment="1" applyProtection="1">
      <alignment horizontal="center" vertical="top"/>
    </xf>
    <xf numFmtId="0" fontId="15" fillId="0" borderId="115" xfId="14" applyNumberFormat="1" applyFont="1" applyFill="1" applyBorder="1" applyAlignment="1" applyProtection="1">
      <alignment horizontal="center" vertical="center" wrapText="1"/>
    </xf>
    <xf numFmtId="0" fontId="15" fillId="0" borderId="116" xfId="14" applyNumberFormat="1" applyFont="1" applyFill="1" applyBorder="1" applyAlignment="1" applyProtection="1">
      <alignment horizontal="center" vertical="center" wrapText="1"/>
    </xf>
    <xf numFmtId="0" fontId="6" fillId="0" borderId="117" xfId="15" applyFont="1" applyBorder="1" applyAlignment="1">
      <alignment horizontal="center"/>
    </xf>
    <xf numFmtId="0" fontId="6" fillId="0" borderId="118" xfId="15" applyFont="1" applyBorder="1" applyAlignment="1">
      <alignment horizontal="center"/>
    </xf>
    <xf numFmtId="0" fontId="6" fillId="0" borderId="89" xfId="15" applyFont="1" applyBorder="1" applyAlignment="1">
      <alignment horizontal="center"/>
    </xf>
    <xf numFmtId="0" fontId="6" fillId="0" borderId="84" xfId="14" applyNumberFormat="1" applyFont="1" applyFill="1" applyBorder="1" applyAlignment="1" applyProtection="1">
      <alignment horizontal="center" vertical="center" wrapText="1"/>
    </xf>
    <xf numFmtId="0" fontId="26" fillId="0" borderId="121" xfId="15" applyFont="1" applyBorder="1"/>
    <xf numFmtId="0" fontId="27" fillId="0" borderId="88" xfId="15" applyFont="1" applyBorder="1" applyAlignment="1"/>
    <xf numFmtId="0" fontId="26" fillId="0" borderId="108" xfId="15" applyFont="1" applyBorder="1" applyAlignment="1"/>
    <xf numFmtId="0" fontId="26" fillId="0" borderId="53" xfId="15" applyFont="1" applyBorder="1" applyAlignment="1"/>
    <xf numFmtId="0" fontId="28" fillId="0" borderId="82" xfId="15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/>
    </xf>
    <xf numFmtId="0" fontId="7" fillId="0" borderId="125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15" fillId="0" borderId="9" xfId="13" applyNumberFormat="1" applyFont="1" applyFill="1" applyBorder="1" applyAlignment="1" applyProtection="1">
      <alignment horizontal="center" vertical="top"/>
    </xf>
    <xf numFmtId="0" fontId="15" fillId="0" borderId="9" xfId="13" applyNumberFormat="1" applyFont="1" applyFill="1" applyBorder="1" applyAlignment="1" applyProtection="1">
      <alignment horizontal="center" vertical="center" wrapText="1"/>
    </xf>
    <xf numFmtId="0" fontId="5" fillId="0" borderId="124" xfId="0" applyFont="1" applyBorder="1" applyAlignment="1"/>
    <xf numFmtId="0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 textRotation="90"/>
    </xf>
    <xf numFmtId="0" fontId="7" fillId="0" borderId="141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128" xfId="0" applyFont="1" applyBorder="1" applyAlignment="1">
      <alignment horizontal="center" vertical="center" textRotation="90"/>
    </xf>
    <xf numFmtId="0" fontId="7" fillId="0" borderId="129" xfId="0" applyFont="1" applyBorder="1" applyAlignment="1">
      <alignment horizontal="center" vertical="center" textRotation="90"/>
    </xf>
    <xf numFmtId="0" fontId="6" fillId="0" borderId="127" xfId="13" applyNumberFormat="1" applyFont="1" applyFill="1" applyBorder="1" applyAlignment="1" applyProtection="1">
      <alignment horizontal="center" vertical="center" wrapText="1"/>
    </xf>
    <xf numFmtId="0" fontId="6" fillId="0" borderId="126" xfId="13" applyNumberFormat="1" applyFont="1" applyFill="1" applyBorder="1" applyAlignment="1" applyProtection="1">
      <alignment horizontal="center" vertical="center" wrapText="1"/>
    </xf>
    <xf numFmtId="0" fontId="6" fillId="0" borderId="21" xfId="13" applyNumberFormat="1" applyFont="1" applyFill="1" applyBorder="1" applyAlignment="1" applyProtection="1">
      <alignment horizontal="center" vertical="center" wrapText="1"/>
    </xf>
    <xf numFmtId="0" fontId="6" fillId="0" borderId="9" xfId="13" applyNumberFormat="1" applyFont="1" applyFill="1" applyBorder="1" applyAlignment="1" applyProtection="1">
      <alignment horizontal="center" vertical="center" wrapText="1"/>
    </xf>
    <xf numFmtId="0" fontId="6" fillId="0" borderId="6" xfId="13" applyNumberFormat="1" applyFont="1" applyFill="1" applyBorder="1" applyAlignment="1" applyProtection="1">
      <alignment horizontal="center" vertical="center" wrapText="1"/>
    </xf>
    <xf numFmtId="0" fontId="6" fillId="0" borderId="138" xfId="0" applyFont="1" applyBorder="1" applyAlignment="1">
      <alignment horizontal="center"/>
    </xf>
    <xf numFmtId="0" fontId="6" fillId="0" borderId="13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59" borderId="128" xfId="0" applyFont="1" applyFill="1" applyBorder="1" applyAlignment="1">
      <alignment horizontal="center" vertical="center" textRotation="90"/>
    </xf>
    <xf numFmtId="0" fontId="7" fillId="59" borderId="129" xfId="0" applyFont="1" applyFill="1" applyBorder="1" applyAlignment="1">
      <alignment horizontal="center" vertical="center" textRotation="90"/>
    </xf>
    <xf numFmtId="0" fontId="5" fillId="59" borderId="124" xfId="0" applyFont="1" applyFill="1" applyBorder="1" applyAlignment="1"/>
    <xf numFmtId="0" fontId="4" fillId="59" borderId="0" xfId="0" applyFont="1" applyFill="1" applyBorder="1" applyAlignment="1">
      <alignment horizontal="center" wrapText="1"/>
    </xf>
    <xf numFmtId="0" fontId="5" fillId="59" borderId="17" xfId="0" applyNumberFormat="1" applyFont="1" applyFill="1" applyBorder="1" applyAlignment="1">
      <alignment horizontal="center" vertical="center" wrapText="1"/>
    </xf>
    <xf numFmtId="0" fontId="5" fillId="59" borderId="17" xfId="0" applyFont="1" applyFill="1" applyBorder="1" applyAlignment="1">
      <alignment horizontal="center" vertical="center" wrapText="1"/>
    </xf>
    <xf numFmtId="0" fontId="6" fillId="59" borderId="9" xfId="13" applyNumberFormat="1" applyFont="1" applyFill="1" applyBorder="1" applyAlignment="1" applyProtection="1">
      <alignment horizontal="center" vertical="center" wrapText="1"/>
    </xf>
    <xf numFmtId="0" fontId="6" fillId="59" borderId="126" xfId="13" applyNumberFormat="1" applyFont="1" applyFill="1" applyBorder="1" applyAlignment="1" applyProtection="1">
      <alignment horizontal="center" vertical="center" wrapText="1"/>
    </xf>
    <xf numFmtId="0" fontId="6" fillId="59" borderId="21" xfId="13" applyNumberFormat="1" applyFont="1" applyFill="1" applyBorder="1" applyAlignment="1" applyProtection="1">
      <alignment horizontal="center" vertical="center" wrapText="1"/>
    </xf>
    <xf numFmtId="0" fontId="6" fillId="59" borderId="6" xfId="13" applyNumberFormat="1" applyFont="1" applyFill="1" applyBorder="1" applyAlignment="1" applyProtection="1">
      <alignment horizontal="center" vertical="center" wrapText="1"/>
    </xf>
    <xf numFmtId="0" fontId="6" fillId="59" borderId="127" xfId="13" applyNumberFormat="1" applyFont="1" applyFill="1" applyBorder="1" applyAlignment="1" applyProtection="1">
      <alignment horizontal="center" vertical="center" wrapText="1"/>
    </xf>
  </cellXfs>
  <cellStyles count="326">
    <cellStyle name="_Альбом бюджетных форм   от 23.08.05" xfId="83"/>
    <cellStyle name="_Альбом бюджетных форм   от 25.08.05" xfId="84"/>
    <cellStyle name="_Бюджетные формы.Расходы v.3.1" xfId="85"/>
    <cellStyle name="_ДПН на 3 кв - короткий" xfId="24"/>
    <cellStyle name="_Книга1" xfId="249"/>
    <cellStyle name="_Книга1_Калмэнерго" xfId="248"/>
    <cellStyle name="_Книга1_Копия АРМ_БП_РСК_V10 0_20100213" xfId="247"/>
    <cellStyle name="_Книга1_Копия АРМ_БП_РСК_V10 0_20100213_Калмэнерго" xfId="246"/>
    <cellStyle name="’ћѓћ‚›‰" xfId="25"/>
    <cellStyle name="”ќђќ‘ћ‚›‰" xfId="26"/>
    <cellStyle name="”љ‘ђћ‚ђќќ›‰" xfId="27"/>
    <cellStyle name="„…ќ…†ќ›‰" xfId="28"/>
    <cellStyle name="‡ђѓћ‹ћ‚ћљ1" xfId="29"/>
    <cellStyle name="‡ђѓћ‹ћ‚ћљ2" xfId="30"/>
    <cellStyle name="20% - Акцент1 2" xfId="31"/>
    <cellStyle name="20% - Акцент2 2" xfId="32"/>
    <cellStyle name="20% - Акцент3 2" xfId="33"/>
    <cellStyle name="20% - Акцент4 2" xfId="34"/>
    <cellStyle name="20% - Акцент5 2" xfId="35"/>
    <cellStyle name="20% - Акцент6 2" xfId="36"/>
    <cellStyle name="40% - Акцент1 2" xfId="37"/>
    <cellStyle name="40% - Акцент2 2" xfId="38"/>
    <cellStyle name="40% - Акцент3 2" xfId="39"/>
    <cellStyle name="40% - Акцент4 2" xfId="40"/>
    <cellStyle name="40% - Акцент5 2" xfId="41"/>
    <cellStyle name="40% - Акцент6 2" xfId="42"/>
    <cellStyle name="60% - Акцент1 2" xfId="43"/>
    <cellStyle name="60% - Акцент2 2" xfId="44"/>
    <cellStyle name="60% - Акцент3 2" xfId="45"/>
    <cellStyle name="60% - Акцент4 2" xfId="46"/>
    <cellStyle name="60% - Акцент5 2" xfId="47"/>
    <cellStyle name="60% - Акцент6 2" xfId="48"/>
    <cellStyle name="Comma [0]_laroux" xfId="49"/>
    <cellStyle name="Comma_laroux" xfId="50"/>
    <cellStyle name="Currency [0]" xfId="2"/>
    <cellStyle name="Currency_laroux" xfId="51"/>
    <cellStyle name="Euro" xfId="86"/>
    <cellStyle name="Normal_ASUS" xfId="52"/>
    <cellStyle name="Normal1" xfId="3"/>
    <cellStyle name="Price_Body" xfId="4"/>
    <cellStyle name="SAPBEXaggData" xfId="87"/>
    <cellStyle name="SAPBEXaggDataEmph" xfId="88"/>
    <cellStyle name="SAPBEXaggItem" xfId="89"/>
    <cellStyle name="SAPBEXaggItemX" xfId="90"/>
    <cellStyle name="SAPBEXchaText" xfId="91"/>
    <cellStyle name="SAPBEXexcBad7" xfId="92"/>
    <cellStyle name="SAPBEXexcBad8" xfId="93"/>
    <cellStyle name="SAPBEXexcBad9" xfId="94"/>
    <cellStyle name="SAPBEXexcCritical4" xfId="95"/>
    <cellStyle name="SAPBEXexcCritical5" xfId="96"/>
    <cellStyle name="SAPBEXexcCritical6" xfId="97"/>
    <cellStyle name="SAPBEXexcGood1" xfId="98"/>
    <cellStyle name="SAPBEXexcGood2" xfId="99"/>
    <cellStyle name="SAPBEXexcGood3" xfId="100"/>
    <cellStyle name="SAPBEXfilterDrill" xfId="101"/>
    <cellStyle name="SAPBEXfilterItem" xfId="102"/>
    <cellStyle name="SAPBEXfilterText" xfId="103"/>
    <cellStyle name="SAPBEXformats" xfId="104"/>
    <cellStyle name="SAPBEXheaderItem" xfId="105"/>
    <cellStyle name="SAPBEXheaderText" xfId="106"/>
    <cellStyle name="SAPBEXHLevel0" xfId="107"/>
    <cellStyle name="SAPBEXHLevel0X" xfId="108"/>
    <cellStyle name="SAPBEXHLevel1" xfId="109"/>
    <cellStyle name="SAPBEXHLevel1X" xfId="110"/>
    <cellStyle name="SAPBEXHLevel2" xfId="111"/>
    <cellStyle name="SAPBEXHLevel2X" xfId="112"/>
    <cellStyle name="SAPBEXHLevel3" xfId="113"/>
    <cellStyle name="SAPBEXHLevel3X" xfId="114"/>
    <cellStyle name="SAPBEXresData" xfId="115"/>
    <cellStyle name="SAPBEXresDataEmph" xfId="116"/>
    <cellStyle name="SAPBEXresItem" xfId="117"/>
    <cellStyle name="SAPBEXresItemX" xfId="118"/>
    <cellStyle name="SAPBEXstdData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EM-BPS-data" xfId="125"/>
    <cellStyle name="SEM-BPS-head" xfId="126"/>
    <cellStyle name="SEM-BPS-headdata" xfId="127"/>
    <cellStyle name="SEM-BPS-headkey" xfId="128"/>
    <cellStyle name="SEM-BPS-input-on" xfId="129"/>
    <cellStyle name="SEM-BPS-key" xfId="130"/>
    <cellStyle name="SEM-BPS-sub1" xfId="131"/>
    <cellStyle name="SEM-BPS-sub2" xfId="132"/>
    <cellStyle name="SEM-BPS-total" xfId="133"/>
    <cellStyle name="Акцент1 2" xfId="53"/>
    <cellStyle name="Акцент2 2" xfId="54"/>
    <cellStyle name="Акцент3 2" xfId="55"/>
    <cellStyle name="Акцент4 2" xfId="56"/>
    <cellStyle name="Акцент5 2" xfId="57"/>
    <cellStyle name="Акцент6 2" xfId="58"/>
    <cellStyle name="Беззащитный" xfId="5"/>
    <cellStyle name="Ввод  2" xfId="59"/>
    <cellStyle name="Ввод  2 2" xfId="259"/>
    <cellStyle name="Ввод  2 3" xfId="254"/>
    <cellStyle name="Ввод  2 4" xfId="255"/>
    <cellStyle name="Ввод  2_январь" xfId="245"/>
    <cellStyle name="Вывод 2" xfId="60"/>
    <cellStyle name="Вывод 2 2" xfId="215"/>
    <cellStyle name="Вывод 2 3" xfId="260"/>
    <cellStyle name="Вывод 2 4" xfId="253"/>
    <cellStyle name="Вывод 2 5" xfId="256"/>
    <cellStyle name="Вывод 2_январь" xfId="244"/>
    <cellStyle name="Вычисление 2" xfId="61"/>
    <cellStyle name="Вычисление 2 2" xfId="261"/>
    <cellStyle name="Вычисление 2 3" xfId="252"/>
    <cellStyle name="Вычисление 2 4" xfId="257"/>
    <cellStyle name="Вычисление 2_январь" xfId="243"/>
    <cellStyle name="Денежный 2" xfId="134"/>
    <cellStyle name="Денежный 3" xfId="135"/>
    <cellStyle name="Денежный 4" xfId="136"/>
    <cellStyle name="Денежный 5" xfId="137"/>
    <cellStyle name="Заголовок" xfId="6"/>
    <cellStyle name="Заголовок 1 2" xfId="62"/>
    <cellStyle name="Заголовок 2 2" xfId="63"/>
    <cellStyle name="Заголовок 3 2" xfId="64"/>
    <cellStyle name="Заголовок 4 2" xfId="65"/>
    <cellStyle name="ЗаголовокСтолбца" xfId="7"/>
    <cellStyle name="Защитный" xfId="8"/>
    <cellStyle name="Значение" xfId="9"/>
    <cellStyle name="Значение 2" xfId="66"/>
    <cellStyle name="Значение 3" xfId="222"/>
    <cellStyle name="Итог 2" xfId="67"/>
    <cellStyle name="Итог 2 2" xfId="223"/>
    <cellStyle name="Итог 2 3" xfId="265"/>
    <cellStyle name="Итог 2 4" xfId="251"/>
    <cellStyle name="Итог 2 5" xfId="258"/>
    <cellStyle name="Итог 2_январь" xfId="242"/>
    <cellStyle name="Контрольная ячейка 2" xfId="68"/>
    <cellStyle name="Мои наименования показателей" xfId="10"/>
    <cellStyle name="Мой заголовок" xfId="11"/>
    <cellStyle name="Мой заголовок листа" xfId="12"/>
    <cellStyle name="Мой заголовок листа 2" xfId="269"/>
    <cellStyle name="Мой заголовок листа 3" xfId="250"/>
    <cellStyle name="Мой заголовок листа_январь" xfId="240"/>
    <cellStyle name="Название 2" xfId="69"/>
    <cellStyle name="Нейтральный 2" xfId="70"/>
    <cellStyle name="Обычный" xfId="0" builtinId="0"/>
    <cellStyle name="Обычный 10 2" xfId="272"/>
    <cellStyle name="Обычный 10 3" xfId="182"/>
    <cellStyle name="Обычный 11" xfId="138"/>
    <cellStyle name="Обычный 11 2" xfId="139"/>
    <cellStyle name="Обычный 11 3" xfId="140"/>
    <cellStyle name="Обычный 11 4" xfId="273"/>
    <cellStyle name="Обычный 11 5" xfId="183"/>
    <cellStyle name="Обычный 11_январь" xfId="239"/>
    <cellStyle name="Обычный 12" xfId="141"/>
    <cellStyle name="Обычный 12 2" xfId="142"/>
    <cellStyle name="Обычный 12 3" xfId="143"/>
    <cellStyle name="Обычный 12 4" xfId="274"/>
    <cellStyle name="Обычный 12 5" xfId="184"/>
    <cellStyle name="Обычный 12_январь" xfId="228"/>
    <cellStyle name="Обычный 13" xfId="144"/>
    <cellStyle name="Обычный 13 2" xfId="145"/>
    <cellStyle name="Обычный 13 3" xfId="275"/>
    <cellStyle name="Обычный 13 4" xfId="185"/>
    <cellStyle name="Обычный 13_январь" xfId="227"/>
    <cellStyle name="Обычный 14" xfId="146"/>
    <cellStyle name="Обычный 15" xfId="147"/>
    <cellStyle name="Обычный 15 2" xfId="276"/>
    <cellStyle name="Обычный 15 3" xfId="186"/>
    <cellStyle name="Обычный 15_январь" xfId="226"/>
    <cellStyle name="Обычный 16" xfId="148"/>
    <cellStyle name="Обычный 17" xfId="149"/>
    <cellStyle name="Обычный 2" xfId="150"/>
    <cellStyle name="Обычный 2 10" xfId="151"/>
    <cellStyle name="Обычный 2 11" xfId="277"/>
    <cellStyle name="Обычный 2 12" xfId="187"/>
    <cellStyle name="Обычный 2 2" xfId="71"/>
    <cellStyle name="Обычный 2 2 2" xfId="229"/>
    <cellStyle name="Обычный 2 2 3" xfId="278"/>
    <cellStyle name="Обычный 2 2 4" xfId="188"/>
    <cellStyle name="Обычный 2 2_январь" xfId="224"/>
    <cellStyle name="Обычный 2 3" xfId="152"/>
    <cellStyle name="Обычный 2 3 2" xfId="230"/>
    <cellStyle name="Обычный 2 3 3" xfId="280"/>
    <cellStyle name="Обычный 2 3 4" xfId="189"/>
    <cellStyle name="Обычный 2 3 5" xfId="262"/>
    <cellStyle name="Обычный 2 3_январь" xfId="221"/>
    <cellStyle name="Обычный 2 4" xfId="153"/>
    <cellStyle name="Обычный 2 4 2" xfId="231"/>
    <cellStyle name="Обычный 2 4 3" xfId="281"/>
    <cellStyle name="Обычный 2 4 4" xfId="190"/>
    <cellStyle name="Обычный 2 4 5" xfId="263"/>
    <cellStyle name="Обычный 2 4_январь" xfId="220"/>
    <cellStyle name="Обычный 2 5" xfId="154"/>
    <cellStyle name="Обычный 2 5 2" xfId="232"/>
    <cellStyle name="Обычный 2 5 3" xfId="282"/>
    <cellStyle name="Обычный 2 5 4" xfId="191"/>
    <cellStyle name="Обычный 2 5 5" xfId="264"/>
    <cellStyle name="Обычный 2 5_январь" xfId="219"/>
    <cellStyle name="Обычный 2 6" xfId="155"/>
    <cellStyle name="Обычный 2 6 2" xfId="233"/>
    <cellStyle name="Обычный 2 6 3" xfId="283"/>
    <cellStyle name="Обычный 2 6 4" xfId="305"/>
    <cellStyle name="Обычный 2 6 5" xfId="266"/>
    <cellStyle name="Обычный 2 6_январь" xfId="218"/>
    <cellStyle name="Обычный 2 7" xfId="156"/>
    <cellStyle name="Обычный 2 7 2" xfId="234"/>
    <cellStyle name="Обычный 2 7 3" xfId="284"/>
    <cellStyle name="Обычный 2 7 4" xfId="306"/>
    <cellStyle name="Обычный 2 7 5" xfId="267"/>
    <cellStyle name="Обычный 2 7_январь" xfId="217"/>
    <cellStyle name="Обычный 2 8" xfId="157"/>
    <cellStyle name="Обычный 2 8 2" xfId="235"/>
    <cellStyle name="Обычный 2 8 3" xfId="285"/>
    <cellStyle name="Обычный 2 8 4" xfId="307"/>
    <cellStyle name="Обычный 2 8 5" xfId="268"/>
    <cellStyle name="Обычный 2 8_январь" xfId="216"/>
    <cellStyle name="Обычный 2 9" xfId="158"/>
    <cellStyle name="Обычный 2_январь" xfId="225"/>
    <cellStyle name="Обычный 3" xfId="159"/>
    <cellStyle name="Обычный 3 2" xfId="236"/>
    <cellStyle name="Обычный 3 3" xfId="286"/>
    <cellStyle name="Обычный 3 4" xfId="308"/>
    <cellStyle name="Обычный 3 5" xfId="270"/>
    <cellStyle name="Обычный 3_январь" xfId="214"/>
    <cellStyle name="Обычный 4" xfId="22"/>
    <cellStyle name="Обычный 4 2" xfId="237"/>
    <cellStyle name="Обычный 4 2 2" xfId="288"/>
    <cellStyle name="Обычный 4 2 3" xfId="310"/>
    <cellStyle name="Обычный 4 2_январь" xfId="212"/>
    <cellStyle name="Обычный 4 3" xfId="287"/>
    <cellStyle name="Обычный 4 4" xfId="309"/>
    <cellStyle name="Обычный 4 5" xfId="271"/>
    <cellStyle name="Обычный 4_январь" xfId="213"/>
    <cellStyle name="Обычный 5" xfId="160"/>
    <cellStyle name="Обычный 5 2" xfId="161"/>
    <cellStyle name="Обычный 5 3" xfId="289"/>
    <cellStyle name="Обычный 5 4" xfId="311"/>
    <cellStyle name="Обычный 5_январь" xfId="211"/>
    <cellStyle name="Обычный 6" xfId="162"/>
    <cellStyle name="Обычный 6 2" xfId="163"/>
    <cellStyle name="Обычный 6 3" xfId="164"/>
    <cellStyle name="Обычный 6 4" xfId="238"/>
    <cellStyle name="Обычный 6 5" xfId="290"/>
    <cellStyle name="Обычный 6 6" xfId="312"/>
    <cellStyle name="Обычный 6 7" xfId="279"/>
    <cellStyle name="Обычный 6_январь" xfId="210"/>
    <cellStyle name="Обычный 7" xfId="165"/>
    <cellStyle name="Обычный 7 2" xfId="166"/>
    <cellStyle name="Обычный 7 3" xfId="291"/>
    <cellStyle name="Обычный 7 4" xfId="313"/>
    <cellStyle name="Обычный 7_январь" xfId="209"/>
    <cellStyle name="Обычный 8" xfId="167"/>
    <cellStyle name="Обычный 8 2" xfId="168"/>
    <cellStyle name="Обычный 8 3" xfId="169"/>
    <cellStyle name="Обычный 8 4" xfId="292"/>
    <cellStyle name="Обычный 8 5" xfId="314"/>
    <cellStyle name="Обычный 8_январь" xfId="208"/>
    <cellStyle name="Обычный 9" xfId="170"/>
    <cellStyle name="Обычный 9 2" xfId="171"/>
    <cellStyle name="Обычный 9 3" xfId="172"/>
    <cellStyle name="Обычный 9 4" xfId="293"/>
    <cellStyle name="Обычный 9 5" xfId="315"/>
    <cellStyle name="Обычный 9_январь" xfId="207"/>
    <cellStyle name="Обычный_methodics230802-pril1-3" xfId="13"/>
    <cellStyle name="Обычный_methodics230802-pril1-3_январь 2007г-н" xfId="14"/>
    <cellStyle name="Обычный_КалмЭ" xfId="23"/>
    <cellStyle name="Обычный_январь 2007г-н" xfId="15"/>
    <cellStyle name="Плохой 2" xfId="72"/>
    <cellStyle name="Поле ввода" xfId="73"/>
    <cellStyle name="Пояснение 2" xfId="74"/>
    <cellStyle name="Примечание 2" xfId="75"/>
    <cellStyle name="Примечание 2 2" xfId="241"/>
    <cellStyle name="Примечание 2 3" xfId="295"/>
    <cellStyle name="Примечание 2 4" xfId="316"/>
    <cellStyle name="Примечание 2 5" xfId="294"/>
    <cellStyle name="Примечание 2_январь" xfId="206"/>
    <cellStyle name="Процентный" xfId="16" builtinId="5"/>
    <cellStyle name="Процентный 2" xfId="173"/>
    <cellStyle name="Процентный 2 2" xfId="76"/>
    <cellStyle name="Процентный 3" xfId="174"/>
    <cellStyle name="Процентный 3 2" xfId="296"/>
    <cellStyle name="Процентный 3 3" xfId="317"/>
    <cellStyle name="Процентный 3_январь" xfId="205"/>
    <cellStyle name="Процентный 4" xfId="175"/>
    <cellStyle name="Процентный 4 2" xfId="297"/>
    <cellStyle name="Процентный 4 3" xfId="318"/>
    <cellStyle name="Процентный 4_январь" xfId="204"/>
    <cellStyle name="Процентный_январь 2007г-н" xfId="17"/>
    <cellStyle name="Связанная ячейка 2" xfId="77"/>
    <cellStyle name="Стиль 1" xfId="1"/>
    <cellStyle name="Стиль 1 2" xfId="202"/>
    <cellStyle name="Стиль 1 3" xfId="298"/>
    <cellStyle name="Стиль 1 4" xfId="319"/>
    <cellStyle name="Стиль 1_январь" xfId="203"/>
    <cellStyle name="Текст предупреждения 2" xfId="78"/>
    <cellStyle name="Текстовый" xfId="18"/>
    <cellStyle name="Текстовый 2" xfId="299"/>
    <cellStyle name="Текстовый 3" xfId="320"/>
    <cellStyle name="Текстовый_январь" xfId="201"/>
    <cellStyle name="Тысячи [0]_2.3.5. (2)" xfId="79"/>
    <cellStyle name="Тысячи_2.3.5. (2)" xfId="80"/>
    <cellStyle name="Финансовый [0] 2" xfId="176"/>
    <cellStyle name="Финансовый 2" xfId="177"/>
    <cellStyle name="Финансовый 2 2" xfId="300"/>
    <cellStyle name="Финансовый 2 3" xfId="321"/>
    <cellStyle name="Финансовый 2_январь" xfId="200"/>
    <cellStyle name="Финансовый 3" xfId="178"/>
    <cellStyle name="Финансовый 3 2" xfId="301"/>
    <cellStyle name="Финансовый 3 3" xfId="322"/>
    <cellStyle name="Финансовый 3_январь" xfId="199"/>
    <cellStyle name="Финансовый 4" xfId="179"/>
    <cellStyle name="Финансовый 4 2" xfId="302"/>
    <cellStyle name="Финансовый 4 3" xfId="323"/>
    <cellStyle name="Финансовый 4_январь" xfId="198"/>
    <cellStyle name="Финансовый 5" xfId="180"/>
    <cellStyle name="Финансовый 6" xfId="181"/>
    <cellStyle name="Формула" xfId="19"/>
    <cellStyle name="Формула 2" xfId="197"/>
    <cellStyle name="Формула 2 2" xfId="196"/>
    <cellStyle name="Формула 3" xfId="195"/>
    <cellStyle name="Формула_Form10" xfId="194"/>
    <cellStyle name="ФормулаВБ" xfId="20"/>
    <cellStyle name="ФормулаВБ 2" xfId="303"/>
    <cellStyle name="ФормулаВБ 3" xfId="324"/>
    <cellStyle name="ФормулаВБ_январь" xfId="193"/>
    <cellStyle name="ФормулаНаКонтроль" xfId="21"/>
    <cellStyle name="ФормулаНаКонтроль 2" xfId="304"/>
    <cellStyle name="ФормулаНаКонтроль 3" xfId="325"/>
    <cellStyle name="ФормулаНаКонтроль_январь" xfId="192"/>
    <cellStyle name="Хороший 2" xfId="81"/>
    <cellStyle name="Џђћ–…ќ’ќ›‰" xfId="82"/>
  </cellStyles>
  <dxfs count="0"/>
  <tableStyles count="0" defaultTableStyle="TableStyleMedium9" defaultPivotStyle="PivotStyleLight16"/>
  <colors>
    <mruColors>
      <color rgb="FFCCFFFF"/>
      <color rgb="FF66FFFF"/>
      <color rgb="FF00FFFF"/>
      <color rgb="FF0078D2"/>
      <color rgb="FF008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3;&#1048;&#1074;\&#1056;&#1072;&#1073;&#1086;&#1095;&#1080;&#1081;%20&#1089;&#1090;&#1086;&#1083;\&#1048;&#1085;&#1090;&#1077;&#1075;&#1088;&#1072;&#1083;&#1100;&#1085;&#1099;&#1077;%20&#1072;&#1082;&#1090;&#1099;\2013&#1075;\46_&#1069;&#1069;\46_&#1069;&#1069;_06_2013%20&#1085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3;&#1048;&#1074;\&#1056;&#1072;&#1073;&#1086;&#1095;&#1080;&#1081;%20&#1089;&#1090;&#1086;&#1083;\&#1048;&#1085;&#1090;&#1077;&#1075;&#1088;&#1072;&#1083;&#1100;&#1085;&#1099;&#1077;%20&#1072;&#1082;&#1090;&#1099;\2013&#1075;\&#1053;&#1040;&#1056;&#1040;&#1057;&#1058;&#1040;&#1070;&#1065;&#1048;&#1049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Rar$DI02.985\&#1058;&#1072;&#1083;&#1080;&#1094;&#1072;%20&#1076;&#1083;&#1103;%20&#1056;&#1057;&#105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н"/>
      <sheetName val="46 нов"/>
    </sheetNames>
    <definedNames>
      <definedName name="_r" refersTo="#ССЫЛКА!" sheetId="0"/>
      <definedName name="CompOt" refersTo="#ССЫЛКА!" sheetId="0"/>
      <definedName name="CompRas" refersTo="#ССЫЛКА!" sheetId="0"/>
      <definedName name="ew" refersTo="#ССЫЛКА!" sheetId="0"/>
      <definedName name="fg" refersTo="#ССЫЛКА!" sheetId="0"/>
      <definedName name="k" refersTo="#ССЫЛКА!" sheetId="0"/>
      <definedName name="M7.3" refersTo="#ССЫЛКА!" sheetId="0"/>
      <definedName name="АААААААА" refersTo="#ССЫЛКА!" sheetId="0"/>
      <definedName name="ап" refersTo="#ССЫЛКА!" sheetId="0"/>
      <definedName name="ддд" refersTo="#ССЫЛКА!" sheetId="0"/>
      <definedName name="ирина" refersTo="#ССЫЛКА!" sheetId="0"/>
      <definedName name="прил1.2" refersTo="#ССЫЛКА!" sheetId="0"/>
      <definedName name="Прилож3" refersTo="#ССЫЛКА!" sheetId="0"/>
      <definedName name="Приложение8" refersTo="#ССЫЛКА!" sheetId="0"/>
      <definedName name="р" refersTo="#ССЫЛКА!" sheetId="0"/>
      <definedName name="ро" refersTo="#ССЫЛКА!" sheetId="0"/>
      <definedName name="тар" refersTo="#ССЫЛКА!" sheetId="0"/>
      <definedName name="ТАР2" refersTo="#ССЫЛКА!" sheetId="0"/>
      <definedName name="Тариф3" refersTo="#ССЫЛКА!" sheetId="0"/>
      <definedName name="ТЭЦ" refersTo="#ССЫЛКА!" sheetId="0"/>
      <definedName name="ук" refersTo="#ССЫЛКА!" sheetId="0"/>
      <definedName name="форма" refersTo="#ССЫЛКА!" sheetId="0"/>
      <definedName name="ц." refersTo="#ССЫЛКА!" sheetId="0"/>
      <definedName name="щ" refersTo="#ССЫЛКА!" sheetId="0"/>
      <definedName name="ъ" refersTo="#ССЫЛКА!" sheetId="0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М-экон"/>
      <sheetName val="баланс АЭ"/>
      <sheetName val="ГРЭС_ТЭЦ_Сев"/>
      <sheetName val="Акт перетоков"/>
      <sheetName val="Интегр_акт"/>
      <sheetName val="7_энерго "/>
      <sheetName val="бездоговорное"/>
      <sheetName val="СН"/>
      <sheetName val="2_рег"/>
      <sheetName val="бал_по напряж_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>
        <row r="6">
          <cell r="D6">
            <v>0</v>
          </cell>
          <cell r="E6">
            <v>0</v>
          </cell>
        </row>
        <row r="7">
          <cell r="D7">
            <v>0</v>
          </cell>
          <cell r="E7">
            <v>0</v>
          </cell>
        </row>
        <row r="11">
          <cell r="D11">
            <v>0</v>
          </cell>
          <cell r="E11">
            <v>0</v>
          </cell>
        </row>
        <row r="18">
          <cell r="D18">
            <v>0</v>
          </cell>
          <cell r="E18">
            <v>0</v>
          </cell>
        </row>
        <row r="20">
          <cell r="D20">
            <v>0</v>
          </cell>
          <cell r="E20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D6">
            <v>507.4</v>
          </cell>
          <cell r="E6">
            <v>478.8</v>
          </cell>
        </row>
        <row r="8">
          <cell r="D8">
            <v>0</v>
          </cell>
          <cell r="E8">
            <v>0</v>
          </cell>
        </row>
        <row r="9">
          <cell r="D9">
            <v>12.4</v>
          </cell>
          <cell r="E9">
            <v>12</v>
          </cell>
        </row>
        <row r="10">
          <cell r="D10">
            <v>495</v>
          </cell>
          <cell r="E10">
            <v>466.8</v>
          </cell>
        </row>
        <row r="12">
          <cell r="D12">
            <v>0</v>
          </cell>
          <cell r="E12">
            <v>0</v>
          </cell>
        </row>
        <row r="13">
          <cell r="D13">
            <v>495</v>
          </cell>
          <cell r="E13">
            <v>466.8</v>
          </cell>
        </row>
        <row r="14">
          <cell r="D14">
            <v>0</v>
          </cell>
          <cell r="E14">
            <v>0</v>
          </cell>
        </row>
        <row r="15">
          <cell r="D15">
            <v>53.6</v>
          </cell>
          <cell r="E15">
            <v>60</v>
          </cell>
        </row>
        <row r="16">
          <cell r="D16">
            <v>0</v>
          </cell>
          <cell r="E16">
            <v>0</v>
          </cell>
        </row>
        <row r="17">
          <cell r="D17">
            <v>453.79999999999995</v>
          </cell>
          <cell r="E17">
            <v>418.8</v>
          </cell>
        </row>
        <row r="19">
          <cell r="D19">
            <v>331.8</v>
          </cell>
          <cell r="E19">
            <v>326.2</v>
          </cell>
        </row>
      </sheetData>
      <sheetData sheetId="5" refreshError="1"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11">
          <cell r="C11">
            <v>0</v>
          </cell>
          <cell r="D11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9">
          <cell r="C29">
            <v>0</v>
          </cell>
          <cell r="D29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40">
          <cell r="C40">
            <v>0</v>
          </cell>
          <cell r="D40">
            <v>0</v>
          </cell>
        </row>
      </sheetData>
      <sheetData sheetId="6" refreshError="1">
        <row r="6">
          <cell r="C6">
            <v>0</v>
          </cell>
          <cell r="D6">
            <v>0</v>
          </cell>
        </row>
        <row r="7">
          <cell r="C7">
            <v>3367.21</v>
          </cell>
          <cell r="D7">
            <v>3466.5</v>
          </cell>
        </row>
        <row r="8">
          <cell r="C8">
            <v>3285.11</v>
          </cell>
          <cell r="D8">
            <v>3381.6</v>
          </cell>
        </row>
        <row r="10">
          <cell r="C10">
            <v>355.55</v>
          </cell>
          <cell r="D10">
            <v>434.5</v>
          </cell>
        </row>
        <row r="11">
          <cell r="C11">
            <v>810.06</v>
          </cell>
          <cell r="D11">
            <v>795.54</v>
          </cell>
        </row>
        <row r="12">
          <cell r="C12">
            <v>82.1</v>
          </cell>
          <cell r="D12">
            <v>84.9</v>
          </cell>
        </row>
        <row r="13">
          <cell r="C13">
            <v>0</v>
          </cell>
          <cell r="D13">
            <v>0</v>
          </cell>
        </row>
        <row r="14">
          <cell r="C14">
            <v>355.55</v>
          </cell>
          <cell r="D14">
            <v>434.5</v>
          </cell>
        </row>
        <row r="15">
          <cell r="C15">
            <v>10.559186982694872</v>
          </cell>
          <cell r="D15">
            <v>12.534256454637241</v>
          </cell>
        </row>
        <row r="16">
          <cell r="C16">
            <v>0</v>
          </cell>
          <cell r="D16">
            <v>0</v>
          </cell>
        </row>
        <row r="21">
          <cell r="C21">
            <v>3011.66</v>
          </cell>
          <cell r="D21">
            <v>3032</v>
          </cell>
        </row>
        <row r="24">
          <cell r="C24">
            <v>810.06</v>
          </cell>
          <cell r="D24">
            <v>795.54</v>
          </cell>
        </row>
        <row r="25">
          <cell r="C25">
            <v>2201.6</v>
          </cell>
          <cell r="D25">
            <v>2236.46</v>
          </cell>
        </row>
      </sheetData>
      <sheetData sheetId="7" refreshError="1"/>
      <sheetData sheetId="8" refreshError="1">
        <row r="8">
          <cell r="C8">
            <v>3367.21</v>
          </cell>
          <cell r="D8">
            <v>3285.11</v>
          </cell>
          <cell r="E8">
            <v>681.1</v>
          </cell>
          <cell r="F8">
            <v>2327.52</v>
          </cell>
          <cell r="G8">
            <v>552.35</v>
          </cell>
          <cell r="H8">
            <v>3466.4999999999995</v>
          </cell>
          <cell r="I8">
            <v>2700.18</v>
          </cell>
          <cell r="J8">
            <v>581.29999999999995</v>
          </cell>
          <cell r="K8">
            <v>732.88000000000011</v>
          </cell>
          <cell r="L8">
            <v>488.54</v>
          </cell>
        </row>
        <row r="9">
          <cell r="D9">
            <v>0</v>
          </cell>
          <cell r="E9">
            <v>599</v>
          </cell>
          <cell r="F9">
            <v>2327.52</v>
          </cell>
          <cell r="G9">
            <v>552.35</v>
          </cell>
          <cell r="I9">
            <v>0</v>
          </cell>
          <cell r="J9">
            <v>133.44999999999999</v>
          </cell>
          <cell r="K9">
            <v>414.41</v>
          </cell>
          <cell r="L9">
            <v>488.54</v>
          </cell>
        </row>
        <row r="11">
          <cell r="E11">
            <v>599</v>
          </cell>
          <cell r="F11">
            <v>1710.92</v>
          </cell>
          <cell r="J11">
            <v>133.44999999999999</v>
          </cell>
          <cell r="K11">
            <v>311.37</v>
          </cell>
        </row>
        <row r="12">
          <cell r="F12">
            <v>616.6</v>
          </cell>
          <cell r="K12">
            <v>103.04</v>
          </cell>
        </row>
        <row r="13">
          <cell r="G13">
            <v>552.35</v>
          </cell>
          <cell r="L13">
            <v>488.54</v>
          </cell>
        </row>
        <row r="14">
          <cell r="C14">
            <v>3285.11</v>
          </cell>
          <cell r="D14">
            <v>3285.11</v>
          </cell>
          <cell r="H14">
            <v>0</v>
          </cell>
        </row>
        <row r="15">
          <cell r="C15">
            <v>0</v>
          </cell>
          <cell r="H15">
            <v>3381.5999999999995</v>
          </cell>
          <cell r="I15">
            <v>2700.18</v>
          </cell>
          <cell r="J15">
            <v>362.95</v>
          </cell>
          <cell r="K15">
            <v>318.47000000000003</v>
          </cell>
        </row>
        <row r="16">
          <cell r="C16">
            <v>82.1</v>
          </cell>
          <cell r="E16">
            <v>82.1</v>
          </cell>
          <cell r="H16">
            <v>84.9</v>
          </cell>
          <cell r="J16">
            <v>84.9</v>
          </cell>
        </row>
        <row r="17">
          <cell r="C17">
            <v>355.55</v>
          </cell>
          <cell r="D17">
            <v>89.33</v>
          </cell>
          <cell r="E17">
            <v>57.4</v>
          </cell>
          <cell r="F17">
            <v>176.47</v>
          </cell>
          <cell r="G17">
            <v>32.35</v>
          </cell>
          <cell r="H17">
            <v>434.5</v>
          </cell>
          <cell r="I17">
            <v>126.8</v>
          </cell>
          <cell r="J17">
            <v>45.1</v>
          </cell>
          <cell r="K17">
            <v>113.2</v>
          </cell>
          <cell r="L17">
            <v>149.4</v>
          </cell>
        </row>
        <row r="18">
          <cell r="C18">
            <v>10.559186982694872</v>
          </cell>
          <cell r="D18">
            <v>5.13</v>
          </cell>
          <cell r="E18">
            <v>7.23</v>
          </cell>
          <cell r="F18">
            <v>6.91</v>
          </cell>
          <cell r="G18">
            <v>4.3</v>
          </cell>
          <cell r="H18">
            <v>12.534256454637244</v>
          </cell>
          <cell r="I18">
            <v>5.13</v>
          </cell>
          <cell r="J18">
            <v>7.23</v>
          </cell>
          <cell r="K18">
            <v>6.91</v>
          </cell>
          <cell r="L18">
            <v>4.3</v>
          </cell>
        </row>
        <row r="19">
          <cell r="C19">
            <v>0</v>
          </cell>
          <cell r="H19">
            <v>0</v>
          </cell>
        </row>
        <row r="20">
          <cell r="D20">
            <v>885.86</v>
          </cell>
          <cell r="E20">
            <v>7.1</v>
          </cell>
          <cell r="F20">
            <v>1598.7</v>
          </cell>
          <cell r="G20">
            <v>520</v>
          </cell>
          <cell r="I20">
            <v>2128.56</v>
          </cell>
          <cell r="J20">
            <v>433.16</v>
          </cell>
          <cell r="K20">
            <v>131.14000000000001</v>
          </cell>
          <cell r="L20">
            <v>339.14</v>
          </cell>
        </row>
        <row r="21">
          <cell r="C21">
            <v>3011.66</v>
          </cell>
          <cell r="D21">
            <v>885.86</v>
          </cell>
          <cell r="E21">
            <v>7.1</v>
          </cell>
          <cell r="F21">
            <v>1598.7</v>
          </cell>
          <cell r="G21">
            <v>520</v>
          </cell>
          <cell r="H21">
            <v>3032</v>
          </cell>
          <cell r="I21">
            <v>2128.56</v>
          </cell>
          <cell r="J21">
            <v>433.16</v>
          </cell>
          <cell r="K21">
            <v>131.14000000000001</v>
          </cell>
          <cell r="L21">
            <v>339.14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8">
          <cell r="C8">
            <v>507.4</v>
          </cell>
          <cell r="D8">
            <v>495</v>
          </cell>
          <cell r="E8">
            <v>102.7</v>
          </cell>
          <cell r="F8">
            <v>350.7</v>
          </cell>
          <cell r="G8">
            <v>83.2</v>
          </cell>
          <cell r="H8">
            <v>478.79999999999995</v>
          </cell>
          <cell r="I8">
            <v>372.5</v>
          </cell>
          <cell r="J8">
            <v>80.7</v>
          </cell>
          <cell r="K8">
            <v>86.5</v>
          </cell>
          <cell r="L8">
            <v>67.5</v>
          </cell>
        </row>
        <row r="9">
          <cell r="D9">
            <v>0</v>
          </cell>
          <cell r="E9">
            <v>90.3</v>
          </cell>
          <cell r="F9">
            <v>350.7</v>
          </cell>
          <cell r="G9">
            <v>83.2</v>
          </cell>
          <cell r="I9">
            <v>0</v>
          </cell>
          <cell r="J9">
            <v>18.3</v>
          </cell>
          <cell r="K9">
            <v>42.6</v>
          </cell>
          <cell r="L9">
            <v>67.5</v>
          </cell>
        </row>
        <row r="11">
          <cell r="D11">
            <v>0</v>
          </cell>
          <cell r="E11">
            <v>90.3</v>
          </cell>
          <cell r="F11">
            <v>257.89999999999998</v>
          </cell>
          <cell r="J11">
            <v>18.3</v>
          </cell>
          <cell r="K11">
            <v>32</v>
          </cell>
        </row>
        <row r="12">
          <cell r="D12">
            <v>0</v>
          </cell>
          <cell r="F12">
            <v>92.8</v>
          </cell>
          <cell r="K12">
            <v>10.6</v>
          </cell>
        </row>
        <row r="13">
          <cell r="D13">
            <v>0</v>
          </cell>
          <cell r="G13">
            <v>83.2</v>
          </cell>
          <cell r="L13">
            <v>67.5</v>
          </cell>
        </row>
        <row r="14">
          <cell r="C14">
            <v>0</v>
          </cell>
          <cell r="H14">
            <v>0</v>
          </cell>
        </row>
        <row r="15">
          <cell r="C15">
            <v>495</v>
          </cell>
          <cell r="D15">
            <v>495</v>
          </cell>
          <cell r="H15">
            <v>466.79999999999995</v>
          </cell>
          <cell r="I15">
            <v>372.5</v>
          </cell>
          <cell r="J15">
            <v>50.4</v>
          </cell>
          <cell r="K15">
            <v>43.9</v>
          </cell>
        </row>
        <row r="16">
          <cell r="C16">
            <v>12.4</v>
          </cell>
          <cell r="D16">
            <v>0</v>
          </cell>
          <cell r="E16">
            <v>12.4</v>
          </cell>
          <cell r="H16">
            <v>12</v>
          </cell>
          <cell r="J16">
            <v>12</v>
          </cell>
        </row>
        <row r="17">
          <cell r="C17">
            <v>53.6</v>
          </cell>
          <cell r="D17">
            <v>13.5</v>
          </cell>
          <cell r="E17">
            <v>8.6999999999999993</v>
          </cell>
          <cell r="F17">
            <v>26.5</v>
          </cell>
          <cell r="G17">
            <v>4.9000000000000004</v>
          </cell>
          <cell r="H17">
            <v>60</v>
          </cell>
          <cell r="I17">
            <v>17.5</v>
          </cell>
          <cell r="J17">
            <v>6.2</v>
          </cell>
          <cell r="K17">
            <v>15.6</v>
          </cell>
          <cell r="L17">
            <v>20.7</v>
          </cell>
        </row>
        <row r="18">
          <cell r="C18">
            <v>10.563657863618447</v>
          </cell>
          <cell r="D18">
            <v>2.7272727272727271</v>
          </cell>
          <cell r="E18">
            <v>8.4712755598831535</v>
          </cell>
          <cell r="F18">
            <v>7.5563159395494726</v>
          </cell>
          <cell r="G18">
            <v>5.8894230769230766</v>
          </cell>
          <cell r="H18">
            <v>12.531328320802007</v>
          </cell>
          <cell r="I18">
            <v>4.6979865771812079</v>
          </cell>
          <cell r="J18">
            <v>7.6827757125154896</v>
          </cell>
          <cell r="K18">
            <v>18.034682080924856</v>
          </cell>
          <cell r="L18">
            <v>30.666666666666664</v>
          </cell>
        </row>
        <row r="19">
          <cell r="C19">
            <v>0</v>
          </cell>
          <cell r="H19">
            <v>0</v>
          </cell>
        </row>
        <row r="20">
          <cell r="C20">
            <v>453.79999999999995</v>
          </cell>
          <cell r="D20">
            <v>133.5</v>
          </cell>
          <cell r="E20">
            <v>1.1000000000000001</v>
          </cell>
          <cell r="F20">
            <v>240.9</v>
          </cell>
          <cell r="G20">
            <v>78.400000000000006</v>
          </cell>
          <cell r="H20">
            <v>418.79999999999995</v>
          </cell>
          <cell r="I20">
            <v>294.10000000000002</v>
          </cell>
          <cell r="J20">
            <v>59.8</v>
          </cell>
          <cell r="K20">
            <v>18.100000000000001</v>
          </cell>
          <cell r="L20">
            <v>46.8</v>
          </cell>
        </row>
        <row r="21">
          <cell r="C21">
            <v>453.9</v>
          </cell>
          <cell r="D21">
            <v>133.5</v>
          </cell>
          <cell r="E21">
            <v>1.1000000000000001</v>
          </cell>
          <cell r="F21">
            <v>240.9</v>
          </cell>
          <cell r="G21">
            <v>78.400000000000006</v>
          </cell>
          <cell r="H21">
            <v>418.8</v>
          </cell>
          <cell r="I21">
            <v>294.10000000000002</v>
          </cell>
          <cell r="J21">
            <v>59.8</v>
          </cell>
          <cell r="K21">
            <v>18.100000000000001</v>
          </cell>
          <cell r="L21">
            <v>46.8</v>
          </cell>
        </row>
        <row r="22">
          <cell r="C22">
            <v>0</v>
          </cell>
          <cell r="H22">
            <v>0</v>
          </cell>
        </row>
      </sheetData>
      <sheetData sheetId="10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10">
          <cell r="C10">
            <v>0</v>
          </cell>
          <cell r="I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2">
          <cell r="B12" t="str">
            <v>Население</v>
          </cell>
          <cell r="C12">
            <v>380.04</v>
          </cell>
          <cell r="E12">
            <v>0</v>
          </cell>
          <cell r="F12">
            <v>0</v>
          </cell>
          <cell r="G12">
            <v>8</v>
          </cell>
          <cell r="H12">
            <v>372.04</v>
          </cell>
          <cell r="I12">
            <v>52.2</v>
          </cell>
          <cell r="M12">
            <v>1.1000000000000001</v>
          </cell>
          <cell r="N12">
            <v>51.1</v>
          </cell>
          <cell r="O12">
            <v>7280.4597701149432</v>
          </cell>
          <cell r="P12">
            <v>100</v>
          </cell>
          <cell r="Q12">
            <v>0</v>
          </cell>
          <cell r="R12">
            <v>0</v>
          </cell>
          <cell r="S12">
            <v>0</v>
          </cell>
          <cell r="T12">
            <v>2.1050415745710973</v>
          </cell>
          <cell r="U12">
            <v>97.894958425428896</v>
          </cell>
        </row>
        <row r="13">
          <cell r="B13" t="str">
            <v>Прочие потребители</v>
          </cell>
          <cell r="C13">
            <v>2631.62</v>
          </cell>
          <cell r="E13">
            <v>885.86</v>
          </cell>
          <cell r="F13">
            <v>7.1</v>
          </cell>
          <cell r="G13">
            <v>1590.7</v>
          </cell>
          <cell r="H13">
            <v>147.96</v>
          </cell>
          <cell r="I13">
            <v>401.7</v>
          </cell>
          <cell r="K13">
            <v>133.5</v>
          </cell>
          <cell r="L13">
            <v>1.1000000000000001</v>
          </cell>
          <cell r="M13">
            <v>239.8</v>
          </cell>
          <cell r="N13">
            <v>27.3</v>
          </cell>
          <cell r="O13">
            <v>6551.2073686830972</v>
          </cell>
          <cell r="P13">
            <v>100</v>
          </cell>
          <cell r="Q13">
            <v>0</v>
          </cell>
          <cell r="R13">
            <v>33.662154870384029</v>
          </cell>
          <cell r="S13">
            <v>0.2697957911856575</v>
          </cell>
          <cell r="T13">
            <v>60.445657047750053</v>
          </cell>
          <cell r="U13">
            <v>5.6223922906802652</v>
          </cell>
        </row>
        <row r="14">
          <cell r="B14" t="str">
            <v>Бюджетные потребители</v>
          </cell>
          <cell r="C14">
            <v>293.39999999999998</v>
          </cell>
          <cell r="E14">
            <v>0</v>
          </cell>
          <cell r="F14">
            <v>0</v>
          </cell>
          <cell r="G14">
            <v>293.39999999999998</v>
          </cell>
          <cell r="H14">
            <v>0</v>
          </cell>
          <cell r="I14">
            <v>40.299999999999997</v>
          </cell>
          <cell r="K14">
            <v>0</v>
          </cell>
          <cell r="L14">
            <v>0</v>
          </cell>
          <cell r="M14">
            <v>40.299999999999997</v>
          </cell>
          <cell r="N14">
            <v>0</v>
          </cell>
          <cell r="O14">
            <v>7280.3970223325059</v>
          </cell>
          <cell r="P14">
            <v>100</v>
          </cell>
          <cell r="Q14">
            <v>0</v>
          </cell>
          <cell r="R14">
            <v>0</v>
          </cell>
          <cell r="S14">
            <v>0</v>
          </cell>
          <cell r="T14">
            <v>100</v>
          </cell>
          <cell r="U14">
            <v>0</v>
          </cell>
        </row>
        <row r="15">
          <cell r="B15" t="str">
            <v>Всего</v>
          </cell>
          <cell r="C15">
            <v>3011.66</v>
          </cell>
          <cell r="D15">
            <v>0</v>
          </cell>
          <cell r="E15">
            <v>885.86</v>
          </cell>
          <cell r="F15">
            <v>7.1</v>
          </cell>
          <cell r="G15">
            <v>1598.7</v>
          </cell>
          <cell r="H15">
            <v>520</v>
          </cell>
          <cell r="I15">
            <v>453.9</v>
          </cell>
          <cell r="J15">
            <v>0</v>
          </cell>
          <cell r="K15">
            <v>133.5</v>
          </cell>
          <cell r="L15">
            <v>1.1000000000000001</v>
          </cell>
          <cell r="M15">
            <v>240.9</v>
          </cell>
          <cell r="N15">
            <v>78.400000000000006</v>
          </cell>
          <cell r="O15">
            <v>6635.0738048028197</v>
          </cell>
          <cell r="P15">
            <v>100</v>
          </cell>
          <cell r="Q15">
            <v>0</v>
          </cell>
          <cell r="R15">
            <v>29.414342920515598</v>
          </cell>
          <cell r="S15">
            <v>0.2357503835094267</v>
          </cell>
          <cell r="T15">
            <v>53.083681424862036</v>
          </cell>
          <cell r="U15">
            <v>17.26622527111294</v>
          </cell>
        </row>
        <row r="17">
          <cell r="B17" t="str">
            <v>Базовые потребители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 t="e">
            <v>#DIV/0!</v>
          </cell>
          <cell r="Q17" t="e">
            <v>#DIV/0!</v>
          </cell>
          <cell r="R17" t="e">
            <v>#DIV/0!</v>
          </cell>
          <cell r="S17" t="e">
            <v>#DIV/0!</v>
          </cell>
          <cell r="T17" t="e">
            <v>#DIV/0!</v>
          </cell>
          <cell r="U17" t="e">
            <v>#DIV/0!</v>
          </cell>
        </row>
        <row r="19">
          <cell r="C19">
            <v>0</v>
          </cell>
          <cell r="I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1">
          <cell r="B21" t="str">
            <v>Население</v>
          </cell>
          <cell r="C21">
            <v>339.94</v>
          </cell>
          <cell r="G21">
            <v>0.8</v>
          </cell>
          <cell r="H21">
            <v>339.14</v>
          </cell>
          <cell r="I21">
            <v>46.9</v>
          </cell>
          <cell r="K21">
            <v>0</v>
          </cell>
          <cell r="L21">
            <v>0</v>
          </cell>
          <cell r="M21">
            <v>0.1</v>
          </cell>
          <cell r="N21">
            <v>46.8</v>
          </cell>
          <cell r="O21">
            <v>7248.1876332622605</v>
          </cell>
          <cell r="P21">
            <v>100</v>
          </cell>
          <cell r="Q21">
            <v>0</v>
          </cell>
          <cell r="R21">
            <v>0</v>
          </cell>
          <cell r="S21">
            <v>0</v>
          </cell>
          <cell r="T21">
            <v>0.23533564746720009</v>
          </cell>
          <cell r="U21">
            <v>99.76466435253279</v>
          </cell>
        </row>
        <row r="22">
          <cell r="B22" t="str">
            <v>Прочие потребители</v>
          </cell>
          <cell r="C22">
            <v>2692.06</v>
          </cell>
          <cell r="E22">
            <v>2128.56</v>
          </cell>
          <cell r="F22">
            <v>433.16</v>
          </cell>
          <cell r="G22">
            <v>130.34</v>
          </cell>
          <cell r="H22">
            <v>0</v>
          </cell>
          <cell r="I22">
            <v>371.90000000000003</v>
          </cell>
          <cell r="K22">
            <v>294.10000000000002</v>
          </cell>
          <cell r="L22">
            <v>59.8</v>
          </cell>
          <cell r="M22">
            <v>18</v>
          </cell>
          <cell r="N22">
            <v>0</v>
          </cell>
          <cell r="O22">
            <v>7238.6663081473507</v>
          </cell>
          <cell r="P22">
            <v>100</v>
          </cell>
          <cell r="Q22">
            <v>0</v>
          </cell>
          <cell r="R22">
            <v>79.068074262832184</v>
          </cell>
          <cell r="S22">
            <v>16.090280305788134</v>
          </cell>
          <cell r="T22">
            <v>4.8416454313796873</v>
          </cell>
          <cell r="U22">
            <v>0</v>
          </cell>
        </row>
        <row r="23">
          <cell r="B23" t="str">
            <v>Бюджетные потребители</v>
          </cell>
          <cell r="C23">
            <v>226.20000000000002</v>
          </cell>
          <cell r="E23">
            <v>125.54</v>
          </cell>
          <cell r="F23">
            <v>1.73</v>
          </cell>
          <cell r="G23">
            <v>98.93</v>
          </cell>
          <cell r="H23">
            <v>0</v>
          </cell>
          <cell r="I23">
            <v>31.24</v>
          </cell>
          <cell r="K23">
            <v>17.36</v>
          </cell>
          <cell r="L23">
            <v>0.2</v>
          </cell>
          <cell r="M23">
            <v>13.68</v>
          </cell>
          <cell r="N23">
            <v>0</v>
          </cell>
          <cell r="O23">
            <v>7240.7170294494244</v>
          </cell>
          <cell r="P23">
            <v>100</v>
          </cell>
          <cell r="Q23">
            <v>0</v>
          </cell>
          <cell r="R23">
            <v>55.499557913351019</v>
          </cell>
          <cell r="S23">
            <v>0.76480990274093719</v>
          </cell>
          <cell r="T23">
            <v>43.735632183908045</v>
          </cell>
          <cell r="U23">
            <v>0</v>
          </cell>
        </row>
        <row r="24">
          <cell r="B24" t="str">
            <v>Всего</v>
          </cell>
          <cell r="C24">
            <v>3032</v>
          </cell>
          <cell r="D24">
            <v>0</v>
          </cell>
          <cell r="E24">
            <v>2128.56</v>
          </cell>
          <cell r="F24">
            <v>433.16</v>
          </cell>
          <cell r="G24">
            <v>131.14000000000001</v>
          </cell>
          <cell r="H24">
            <v>339.14</v>
          </cell>
          <cell r="I24">
            <v>418.8</v>
          </cell>
          <cell r="J24">
            <v>0</v>
          </cell>
          <cell r="K24">
            <v>294.10000000000002</v>
          </cell>
          <cell r="L24">
            <v>59.8</v>
          </cell>
          <cell r="M24">
            <v>18.100000000000001</v>
          </cell>
          <cell r="N24">
            <v>46.8</v>
          </cell>
          <cell r="O24">
            <v>7239.7325692454633</v>
          </cell>
          <cell r="P24">
            <v>100</v>
          </cell>
          <cell r="Q24">
            <v>0</v>
          </cell>
          <cell r="R24">
            <v>70.203166226912927</v>
          </cell>
          <cell r="S24">
            <v>14.286279683377309</v>
          </cell>
          <cell r="T24">
            <v>4.3251978891820588</v>
          </cell>
          <cell r="U24">
            <v>11.185356200527705</v>
          </cell>
        </row>
      </sheetData>
      <sheetData sheetId="11" refreshError="1">
        <row r="14">
          <cell r="D14">
            <v>0</v>
          </cell>
          <cell r="F14">
            <v>0</v>
          </cell>
          <cell r="L14">
            <v>0</v>
          </cell>
          <cell r="N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L17">
            <v>0</v>
          </cell>
          <cell r="M17">
            <v>0</v>
          </cell>
          <cell r="N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1"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5">
          <cell r="D25">
            <v>0</v>
          </cell>
          <cell r="F25">
            <v>0</v>
          </cell>
          <cell r="L25">
            <v>0</v>
          </cell>
          <cell r="N25">
            <v>0</v>
          </cell>
        </row>
        <row r="28">
          <cell r="D28">
            <v>0</v>
          </cell>
          <cell r="F28">
            <v>0</v>
          </cell>
          <cell r="L28">
            <v>0</v>
          </cell>
          <cell r="N28">
            <v>0</v>
          </cell>
        </row>
        <row r="30">
          <cell r="D30">
            <v>0</v>
          </cell>
          <cell r="F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3">
          <cell r="D33">
            <v>0</v>
          </cell>
          <cell r="F33">
            <v>0</v>
          </cell>
          <cell r="L33">
            <v>0</v>
          </cell>
          <cell r="N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D49">
            <v>0</v>
          </cell>
          <cell r="F49">
            <v>0</v>
          </cell>
          <cell r="L49">
            <v>0</v>
          </cell>
          <cell r="N49">
            <v>0</v>
          </cell>
        </row>
      </sheetData>
      <sheetData sheetId="12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48">
          <cell r="C48">
            <v>0</v>
          </cell>
          <cell r="D48" t="str">
            <v>Всего</v>
          </cell>
          <cell r="E48" t="str">
            <v>Всего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 t="str">
            <v>Всего</v>
          </cell>
          <cell r="E49" t="str">
            <v>Горячая вода c коллекторов</v>
          </cell>
        </row>
        <row r="50">
          <cell r="C50">
            <v>0</v>
          </cell>
          <cell r="D50" t="str">
            <v>Всего</v>
          </cell>
          <cell r="E50" t="str">
            <v>Горячая вода с тепловых сетей</v>
          </cell>
        </row>
        <row r="51">
          <cell r="C51">
            <v>0</v>
          </cell>
          <cell r="D51" t="str">
            <v>Всего</v>
          </cell>
          <cell r="E51" t="str">
            <v>Отборный пар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>
            <v>0</v>
          </cell>
          <cell r="D52" t="str">
            <v>Всего</v>
          </cell>
          <cell r="E52" t="str">
            <v>Пар 1,2-2,5 кгс/см2</v>
          </cell>
        </row>
        <row r="53">
          <cell r="C53">
            <v>0</v>
          </cell>
          <cell r="D53" t="str">
            <v>Всего</v>
          </cell>
          <cell r="E53" t="str">
            <v>Пар 2,5-7,0 кгс/см2</v>
          </cell>
        </row>
        <row r="54">
          <cell r="C54">
            <v>0</v>
          </cell>
          <cell r="D54" t="str">
            <v>Всего</v>
          </cell>
          <cell r="E54" t="str">
            <v>Пар 7,0-13,0 кгс/см2</v>
          </cell>
        </row>
        <row r="55">
          <cell r="C55">
            <v>0</v>
          </cell>
          <cell r="D55" t="str">
            <v>Всего</v>
          </cell>
          <cell r="E55" t="str">
            <v>Пар больше 13 кгс/см2</v>
          </cell>
        </row>
        <row r="56">
          <cell r="C56">
            <v>0</v>
          </cell>
          <cell r="D56" t="str">
            <v>Всего</v>
          </cell>
          <cell r="E56" t="str">
            <v>Острый и редуцированный пар</v>
          </cell>
        </row>
        <row r="57">
          <cell r="C57">
            <v>0</v>
          </cell>
          <cell r="D57" t="str">
            <v>Бюджетные потребители</v>
          </cell>
          <cell r="E57" t="str">
            <v>Всего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C58">
            <v>0</v>
          </cell>
          <cell r="D58" t="str">
            <v>Бюджетные потребители</v>
          </cell>
          <cell r="E58" t="str">
            <v>Горячая вода c коллекторов</v>
          </cell>
        </row>
        <row r="59">
          <cell r="C59">
            <v>0</v>
          </cell>
          <cell r="D59" t="str">
            <v>Бюджетные потребители</v>
          </cell>
          <cell r="E59" t="str">
            <v>Горячая вода с тепловых сетей</v>
          </cell>
        </row>
        <row r="60">
          <cell r="C60">
            <v>0</v>
          </cell>
          <cell r="D60" t="str">
            <v>Бюджетные потребители</v>
          </cell>
          <cell r="E60" t="str">
            <v>Отборный пар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>
            <v>0</v>
          </cell>
          <cell r="D61" t="str">
            <v>Бюджетные потребители</v>
          </cell>
          <cell r="E61" t="str">
            <v>Пар 1,2-2,5 кгс/см2</v>
          </cell>
        </row>
        <row r="62">
          <cell r="C62">
            <v>0</v>
          </cell>
          <cell r="D62" t="str">
            <v>Бюджетные потребители</v>
          </cell>
          <cell r="E62" t="str">
            <v>Пар 2,5-7,0 кгс/см2</v>
          </cell>
        </row>
        <row r="63">
          <cell r="C63">
            <v>0</v>
          </cell>
          <cell r="D63" t="str">
            <v>Бюджетные потребители</v>
          </cell>
          <cell r="E63" t="str">
            <v>Пар 7,0-13,0 кгс/см2</v>
          </cell>
        </row>
        <row r="64">
          <cell r="C64">
            <v>0</v>
          </cell>
          <cell r="D64" t="str">
            <v>Бюджетные потребители</v>
          </cell>
          <cell r="E64" t="str">
            <v>Пар больше 13 кгс/см2</v>
          </cell>
        </row>
        <row r="65">
          <cell r="C65">
            <v>0</v>
          </cell>
          <cell r="D65" t="str">
            <v>Бюджетные потребители</v>
          </cell>
          <cell r="E65" t="str">
            <v>Острый и редуцированный пар</v>
          </cell>
        </row>
        <row r="66">
          <cell r="C66">
            <v>0</v>
          </cell>
          <cell r="D66" t="str">
            <v>Прочие потребители</v>
          </cell>
          <cell r="E66" t="str">
            <v>Всего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C67">
            <v>0</v>
          </cell>
          <cell r="D67" t="str">
            <v>Прочие потребители</v>
          </cell>
          <cell r="E67" t="str">
            <v>Горячая вода c коллекторов</v>
          </cell>
        </row>
        <row r="68">
          <cell r="C68">
            <v>0</v>
          </cell>
          <cell r="D68" t="str">
            <v>Прочие потребители</v>
          </cell>
          <cell r="E68" t="str">
            <v>Горячая вода с тепловых сетей</v>
          </cell>
        </row>
        <row r="69">
          <cell r="C69">
            <v>0</v>
          </cell>
          <cell r="D69" t="str">
            <v>Прочие потребители</v>
          </cell>
          <cell r="E69" t="str">
            <v>Отборный пар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C70">
            <v>0</v>
          </cell>
          <cell r="D70" t="str">
            <v>Прочие потребители</v>
          </cell>
          <cell r="E70" t="str">
            <v>Пар 1,2-2,5 кгс/см2</v>
          </cell>
        </row>
        <row r="71">
          <cell r="C71">
            <v>0</v>
          </cell>
          <cell r="D71" t="str">
            <v>Прочие потребители</v>
          </cell>
          <cell r="E71" t="str">
            <v>Пар 2,5-7,0 кгс/см2</v>
          </cell>
        </row>
        <row r="72">
          <cell r="C72">
            <v>0</v>
          </cell>
          <cell r="D72" t="str">
            <v>Прочие потребители</v>
          </cell>
          <cell r="E72" t="str">
            <v>Пар 7,0-13,0 кгс/см2</v>
          </cell>
        </row>
        <row r="73">
          <cell r="C73">
            <v>0</v>
          </cell>
          <cell r="D73" t="str">
            <v>Прочие потребители</v>
          </cell>
          <cell r="E73" t="str">
            <v>Пар больше 13 кгс/см2</v>
          </cell>
        </row>
        <row r="74">
          <cell r="C74">
            <v>0</v>
          </cell>
          <cell r="D74" t="str">
            <v>Прочие потребители</v>
          </cell>
          <cell r="E74" t="str">
            <v>Острый и редуцированный пар</v>
          </cell>
        </row>
      </sheetData>
      <sheetData sheetId="13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K10">
            <v>0</v>
          </cell>
          <cell r="O10">
            <v>0</v>
          </cell>
          <cell r="P10">
            <v>0</v>
          </cell>
        </row>
        <row r="12"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e">
            <v>#DIV/0!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e">
            <v>#DIV/0!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O23">
            <v>0</v>
          </cell>
          <cell r="P23">
            <v>0</v>
          </cell>
        </row>
        <row r="25"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O27">
            <v>0</v>
          </cell>
          <cell r="P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e">
            <v>#DIV/0!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4" refreshError="1"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6"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</sheetData>
      <sheetData sheetId="15" refreshError="1">
        <row r="9">
          <cell r="B9">
            <v>0</v>
          </cell>
          <cell r="F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2">
          <cell r="A12" t="str">
            <v>Всего</v>
          </cell>
          <cell r="B12" t="str">
            <v>Всего</v>
          </cell>
        </row>
        <row r="13">
          <cell r="B13" t="str">
            <v>Всего</v>
          </cell>
          <cell r="C13" t="str">
            <v>Всего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5">
          <cell r="D15" t="str">
            <v>Итого</v>
          </cell>
          <cell r="F15">
            <v>0</v>
          </cell>
          <cell r="G15">
            <v>0</v>
          </cell>
          <cell r="H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B19">
            <v>0</v>
          </cell>
          <cell r="F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2">
          <cell r="A22" t="str">
            <v>Всего</v>
          </cell>
          <cell r="B22" t="str">
            <v>Всего</v>
          </cell>
        </row>
        <row r="23">
          <cell r="B23" t="str">
            <v>Всего</v>
          </cell>
          <cell r="C23" t="str">
            <v>Всего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5">
          <cell r="D25" t="str">
            <v>Итого</v>
          </cell>
          <cell r="F25">
            <v>0</v>
          </cell>
          <cell r="G25">
            <v>0</v>
          </cell>
          <cell r="H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</sheetData>
      <sheetData sheetId="16" refreshError="1">
        <row r="13">
          <cell r="C13">
            <v>355.55</v>
          </cell>
          <cell r="D13">
            <v>0</v>
          </cell>
          <cell r="E13">
            <v>452.79</v>
          </cell>
          <cell r="H13">
            <v>160989.48450000002</v>
          </cell>
          <cell r="I13">
            <v>0</v>
          </cell>
          <cell r="J13">
            <v>160989.48450000002</v>
          </cell>
        </row>
        <row r="15">
          <cell r="B15" t="str">
            <v>оптовый рынок</v>
          </cell>
          <cell r="C15">
            <v>355.55</v>
          </cell>
          <cell r="E15">
            <v>452.79</v>
          </cell>
          <cell r="G15">
            <v>452.79</v>
          </cell>
          <cell r="H15">
            <v>160989.48450000002</v>
          </cell>
          <cell r="I15">
            <v>0</v>
          </cell>
          <cell r="J15">
            <v>160989.48450000002</v>
          </cell>
        </row>
        <row r="16">
          <cell r="B16" t="str">
            <v>блокстанции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 t="str">
            <v>другие поставщики - всего</v>
          </cell>
          <cell r="C17">
            <v>0</v>
          </cell>
          <cell r="D17">
            <v>0</v>
          </cell>
          <cell r="E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H19">
            <v>0</v>
          </cell>
          <cell r="I19">
            <v>0</v>
          </cell>
          <cell r="J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H21">
            <v>0</v>
          </cell>
          <cell r="I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5">
          <cell r="H25">
            <v>160989.48450000002</v>
          </cell>
          <cell r="I25">
            <v>0</v>
          </cell>
          <cell r="J25">
            <v>160989.48450000002</v>
          </cell>
        </row>
        <row r="27">
          <cell r="C27">
            <v>434.5</v>
          </cell>
          <cell r="D27">
            <v>0</v>
          </cell>
          <cell r="E27">
            <v>576.99</v>
          </cell>
          <cell r="H27">
            <v>250702.155</v>
          </cell>
          <cell r="I27">
            <v>0</v>
          </cell>
          <cell r="J27">
            <v>250702.155</v>
          </cell>
        </row>
        <row r="29">
          <cell r="B29" t="str">
            <v>оптовый рынок</v>
          </cell>
          <cell r="C29">
            <v>434.5</v>
          </cell>
          <cell r="E29">
            <v>576.99</v>
          </cell>
          <cell r="G29">
            <v>576.99</v>
          </cell>
          <cell r="H29">
            <v>250702.155</v>
          </cell>
          <cell r="I29">
            <v>0</v>
          </cell>
          <cell r="J29">
            <v>250702.155</v>
          </cell>
        </row>
        <row r="30">
          <cell r="B30" t="str">
            <v>блокстанции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другие поставщики - всего</v>
          </cell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</row>
        <row r="33">
          <cell r="E33">
            <v>0</v>
          </cell>
          <cell r="H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H35">
            <v>0</v>
          </cell>
          <cell r="I35">
            <v>0</v>
          </cell>
          <cell r="J35">
            <v>0</v>
          </cell>
        </row>
        <row r="37">
          <cell r="E37">
            <v>0</v>
          </cell>
          <cell r="H37">
            <v>0</v>
          </cell>
          <cell r="I37">
            <v>0</v>
          </cell>
          <cell r="J37">
            <v>0</v>
          </cell>
        </row>
        <row r="39">
          <cell r="H39">
            <v>250702.155</v>
          </cell>
          <cell r="I39">
            <v>0</v>
          </cell>
          <cell r="J39">
            <v>250702.155</v>
          </cell>
        </row>
      </sheetData>
      <sheetData sheetId="17" refreshError="1">
        <row r="7">
          <cell r="E7">
            <v>0</v>
          </cell>
        </row>
        <row r="9">
          <cell r="E9">
            <v>0</v>
          </cell>
        </row>
        <row r="12">
          <cell r="D12" t="e">
            <v>#DIV/0!</v>
          </cell>
          <cell r="E12">
            <v>207000</v>
          </cell>
        </row>
        <row r="14">
          <cell r="E14">
            <v>0</v>
          </cell>
        </row>
      </sheetData>
      <sheetData sheetId="18" refreshError="1">
        <row r="6">
          <cell r="A6" t="str">
            <v>1</v>
          </cell>
          <cell r="B6" t="str">
            <v>Базовый период</v>
          </cell>
          <cell r="C6">
            <v>0</v>
          </cell>
          <cell r="E6">
            <v>0</v>
          </cell>
        </row>
        <row r="8">
          <cell r="E8">
            <v>0</v>
          </cell>
        </row>
        <row r="10">
          <cell r="A10" t="str">
            <v>2</v>
          </cell>
          <cell r="B10" t="str">
            <v>Период регулирования</v>
          </cell>
          <cell r="C10">
            <v>0</v>
          </cell>
          <cell r="E10">
            <v>0</v>
          </cell>
        </row>
        <row r="12">
          <cell r="E12">
            <v>0</v>
          </cell>
        </row>
      </sheetData>
      <sheetData sheetId="19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62570</v>
          </cell>
          <cell r="D11">
            <v>75316</v>
          </cell>
          <cell r="E11">
            <v>62570</v>
          </cell>
          <cell r="F11">
            <v>75316</v>
          </cell>
          <cell r="I11">
            <v>62570</v>
          </cell>
          <cell r="J11">
            <v>75316</v>
          </cell>
        </row>
        <row r="12">
          <cell r="C12">
            <v>24322</v>
          </cell>
          <cell r="D12">
            <v>44552</v>
          </cell>
          <cell r="E12">
            <v>24322</v>
          </cell>
          <cell r="F12">
            <v>44552</v>
          </cell>
          <cell r="I12">
            <v>24322</v>
          </cell>
          <cell r="J12">
            <v>44552</v>
          </cell>
        </row>
        <row r="13">
          <cell r="C13">
            <v>29483</v>
          </cell>
          <cell r="D13">
            <v>40957</v>
          </cell>
          <cell r="E13">
            <v>29483</v>
          </cell>
          <cell r="F13">
            <v>40957</v>
          </cell>
          <cell r="I13">
            <v>29483</v>
          </cell>
          <cell r="J13">
            <v>40957</v>
          </cell>
        </row>
        <row r="14">
          <cell r="C14">
            <v>27380</v>
          </cell>
          <cell r="D14">
            <v>28888</v>
          </cell>
          <cell r="E14">
            <v>27380</v>
          </cell>
          <cell r="F14">
            <v>28888</v>
          </cell>
          <cell r="I14">
            <v>27380</v>
          </cell>
          <cell r="J14">
            <v>28888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</row>
        <row r="16">
          <cell r="C16">
            <v>354751.48450000002</v>
          </cell>
          <cell r="D16">
            <v>506490.15500000003</v>
          </cell>
          <cell r="E16">
            <v>354751.48450000002</v>
          </cell>
          <cell r="F16">
            <v>506490.15500000003</v>
          </cell>
          <cell r="I16">
            <v>193762</v>
          </cell>
          <cell r="J16">
            <v>255788</v>
          </cell>
        </row>
        <row r="17">
          <cell r="C17">
            <v>160989.48450000002</v>
          </cell>
          <cell r="D17">
            <v>250702.155</v>
          </cell>
          <cell r="E17">
            <v>160989.48450000002</v>
          </cell>
          <cell r="F17">
            <v>250702.155</v>
          </cell>
          <cell r="I17">
            <v>190193</v>
          </cell>
          <cell r="J17">
            <v>246323</v>
          </cell>
        </row>
        <row r="18">
          <cell r="C18">
            <v>3569</v>
          </cell>
          <cell r="D18">
            <v>9465</v>
          </cell>
          <cell r="E18">
            <v>3569</v>
          </cell>
          <cell r="F18">
            <v>9465</v>
          </cell>
          <cell r="I18">
            <v>3569</v>
          </cell>
          <cell r="J18">
            <v>9465</v>
          </cell>
        </row>
        <row r="19">
          <cell r="C19">
            <v>193803.95611902646</v>
          </cell>
          <cell r="D19">
            <v>201802.38779018304</v>
          </cell>
          <cell r="E19">
            <v>193803.95611902646</v>
          </cell>
          <cell r="F19">
            <v>201802.38779018304</v>
          </cell>
          <cell r="G19">
            <v>0</v>
          </cell>
          <cell r="H19">
            <v>0</v>
          </cell>
          <cell r="I19">
            <v>193803.95611902646</v>
          </cell>
          <cell r="J19">
            <v>201802.38779018304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14012</v>
          </cell>
          <cell r="D20">
            <v>15063</v>
          </cell>
          <cell r="E20">
            <v>14012</v>
          </cell>
          <cell r="F20">
            <v>15063</v>
          </cell>
          <cell r="I20">
            <v>14012</v>
          </cell>
          <cell r="J20">
            <v>15063</v>
          </cell>
        </row>
        <row r="21">
          <cell r="C21">
            <v>51164</v>
          </cell>
          <cell r="D21">
            <v>52467</v>
          </cell>
          <cell r="E21">
            <v>51164</v>
          </cell>
          <cell r="F21">
            <v>52467</v>
          </cell>
          <cell r="I21">
            <v>51164</v>
          </cell>
          <cell r="J21">
            <v>52467</v>
          </cell>
        </row>
        <row r="22">
          <cell r="C22">
            <v>3643</v>
          </cell>
          <cell r="D22">
            <v>3916</v>
          </cell>
          <cell r="E22">
            <v>3643</v>
          </cell>
          <cell r="F22">
            <v>3916</v>
          </cell>
          <cell r="I22">
            <v>3643</v>
          </cell>
          <cell r="J22">
            <v>3916</v>
          </cell>
        </row>
        <row r="23">
          <cell r="C23">
            <v>154118</v>
          </cell>
          <cell r="D23">
            <v>125191</v>
          </cell>
          <cell r="E23">
            <v>154118</v>
          </cell>
          <cell r="F23">
            <v>125191</v>
          </cell>
          <cell r="G23">
            <v>0</v>
          </cell>
          <cell r="H23">
            <v>0</v>
          </cell>
          <cell r="I23">
            <v>154118</v>
          </cell>
          <cell r="J23">
            <v>125191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85111</v>
          </cell>
          <cell r="D24">
            <v>292672</v>
          </cell>
          <cell r="E24">
            <v>85111</v>
          </cell>
          <cell r="F24">
            <v>292672</v>
          </cell>
          <cell r="G24">
            <v>0</v>
          </cell>
          <cell r="H24">
            <v>0</v>
          </cell>
          <cell r="I24">
            <v>85111</v>
          </cell>
          <cell r="J24">
            <v>292672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I26">
            <v>0</v>
          </cell>
          <cell r="J26">
            <v>0</v>
          </cell>
        </row>
        <row r="27">
          <cell r="C27">
            <v>654</v>
          </cell>
          <cell r="D27">
            <v>18013</v>
          </cell>
          <cell r="E27">
            <v>654</v>
          </cell>
          <cell r="F27">
            <v>18013</v>
          </cell>
          <cell r="I27">
            <v>654</v>
          </cell>
          <cell r="J27">
            <v>18013</v>
          </cell>
        </row>
        <row r="28">
          <cell r="C28">
            <v>102</v>
          </cell>
          <cell r="D28">
            <v>144</v>
          </cell>
          <cell r="E28">
            <v>102</v>
          </cell>
          <cell r="F28">
            <v>144</v>
          </cell>
          <cell r="I28">
            <v>102</v>
          </cell>
          <cell r="J28">
            <v>144</v>
          </cell>
        </row>
        <row r="29">
          <cell r="C29">
            <v>0</v>
          </cell>
          <cell r="D29">
            <v>207000</v>
          </cell>
          <cell r="E29">
            <v>0</v>
          </cell>
          <cell r="F29">
            <v>207000</v>
          </cell>
          <cell r="J29">
            <v>207000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6110</v>
          </cell>
          <cell r="D32">
            <v>6221</v>
          </cell>
          <cell r="E32">
            <v>6110</v>
          </cell>
          <cell r="F32">
            <v>6221</v>
          </cell>
          <cell r="I32">
            <v>6110</v>
          </cell>
          <cell r="J32">
            <v>6221</v>
          </cell>
        </row>
        <row r="33">
          <cell r="C33">
            <v>6110</v>
          </cell>
          <cell r="D33">
            <v>5911</v>
          </cell>
          <cell r="E33">
            <v>6110</v>
          </cell>
          <cell r="F33">
            <v>5911</v>
          </cell>
          <cell r="I33">
            <v>6110</v>
          </cell>
          <cell r="J33">
            <v>5911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78245</v>
          </cell>
          <cell r="D35">
            <v>61294</v>
          </cell>
          <cell r="E35">
            <v>78245</v>
          </cell>
          <cell r="F35">
            <v>61294</v>
          </cell>
          <cell r="I35">
            <v>78245</v>
          </cell>
          <cell r="J35">
            <v>61294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9">
          <cell r="C39">
            <v>931001.44061902654</v>
          </cell>
          <cell r="D39">
            <v>1294895.5427901831</v>
          </cell>
          <cell r="E39">
            <v>931001.44061902654</v>
          </cell>
          <cell r="F39">
            <v>1294895.5427901831</v>
          </cell>
          <cell r="G39">
            <v>0</v>
          </cell>
          <cell r="H39">
            <v>0</v>
          </cell>
          <cell r="I39">
            <v>770011.95611902652</v>
          </cell>
          <cell r="J39">
            <v>1044193.3877901831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69357</v>
          </cell>
          <cell r="D40">
            <v>92419</v>
          </cell>
          <cell r="E40">
            <v>69357</v>
          </cell>
          <cell r="F40">
            <v>92419</v>
          </cell>
          <cell r="G40">
            <v>0</v>
          </cell>
          <cell r="H40">
            <v>0</v>
          </cell>
          <cell r="I40">
            <v>69357</v>
          </cell>
          <cell r="J40">
            <v>92419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>
            <v>25208</v>
          </cell>
          <cell r="D41">
            <v>68276</v>
          </cell>
          <cell r="E41">
            <v>25208</v>
          </cell>
          <cell r="F41">
            <v>68276</v>
          </cell>
          <cell r="I41">
            <v>25208</v>
          </cell>
          <cell r="J41">
            <v>68276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956209.44061902654</v>
          </cell>
          <cell r="D43">
            <v>1363171.5427901831</v>
          </cell>
          <cell r="E43">
            <v>956209.44061902654</v>
          </cell>
          <cell r="F43">
            <v>1363171.5427901831</v>
          </cell>
          <cell r="G43">
            <v>0</v>
          </cell>
          <cell r="H43">
            <v>0</v>
          </cell>
          <cell r="I43">
            <v>795219.95611902652</v>
          </cell>
          <cell r="J43">
            <v>1112469.3877901831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5">
          <cell r="C45">
            <v>956209.44061902654</v>
          </cell>
          <cell r="D45">
            <v>1363171.5427901831</v>
          </cell>
        </row>
        <row r="46">
          <cell r="C46">
            <v>0</v>
          </cell>
          <cell r="D46">
            <v>0</v>
          </cell>
          <cell r="G46">
            <v>0</v>
          </cell>
          <cell r="H46">
            <v>0</v>
          </cell>
        </row>
        <row r="47">
          <cell r="C47">
            <v>160989.48450000002</v>
          </cell>
          <cell r="D47">
            <v>250702.155</v>
          </cell>
          <cell r="E47">
            <v>160989.48450000002</v>
          </cell>
          <cell r="F47">
            <v>250702.155</v>
          </cell>
        </row>
        <row r="48">
          <cell r="C48">
            <v>795219.95611902652</v>
          </cell>
          <cell r="D48">
            <v>1112469.3877901831</v>
          </cell>
          <cell r="I48">
            <v>795219.95611902652</v>
          </cell>
          <cell r="J48">
            <v>1112469.3877901831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  <cell r="K50">
            <v>0</v>
          </cell>
          <cell r="L50">
            <v>0</v>
          </cell>
        </row>
        <row r="51">
          <cell r="C51">
            <v>0</v>
          </cell>
          <cell r="D51">
            <v>0</v>
          </cell>
          <cell r="M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O52">
            <v>0</v>
          </cell>
          <cell r="P52">
            <v>0</v>
          </cell>
        </row>
      </sheetData>
      <sheetData sheetId="20" refreshError="1">
        <row r="7">
          <cell r="D7">
            <v>1650</v>
          </cell>
          <cell r="E7">
            <v>1510</v>
          </cell>
          <cell r="J7">
            <v>1650</v>
          </cell>
          <cell r="K7">
            <v>1510</v>
          </cell>
        </row>
        <row r="8">
          <cell r="D8">
            <v>1650</v>
          </cell>
          <cell r="E8">
            <v>1510</v>
          </cell>
          <cell r="J8">
            <v>1650</v>
          </cell>
          <cell r="K8">
            <v>1510</v>
          </cell>
        </row>
        <row r="10">
          <cell r="J10">
            <v>2158</v>
          </cell>
          <cell r="K10">
            <v>2289.48</v>
          </cell>
        </row>
        <row r="13">
          <cell r="J13">
            <v>6.3019999999999996</v>
          </cell>
          <cell r="K13">
            <v>6.3019999999999996</v>
          </cell>
        </row>
        <row r="14">
          <cell r="D14">
            <v>1.8234399999999999</v>
          </cell>
          <cell r="E14">
            <v>1.8234400000000002</v>
          </cell>
          <cell r="J14">
            <v>1.8234399999999999</v>
          </cell>
          <cell r="K14">
            <v>1.8234399999999999</v>
          </cell>
        </row>
        <row r="15">
          <cell r="D15">
            <v>3934.9835199999998</v>
          </cell>
          <cell r="E15">
            <v>4174.7294112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3934.9835199999998</v>
          </cell>
          <cell r="K15">
            <v>4174.7294112</v>
          </cell>
          <cell r="L15">
            <v>0</v>
          </cell>
          <cell r="M15">
            <v>0</v>
          </cell>
        </row>
        <row r="17">
          <cell r="D17">
            <v>12.5</v>
          </cell>
          <cell r="E17">
            <v>20.063300000000002</v>
          </cell>
          <cell r="J17">
            <v>12.5</v>
          </cell>
          <cell r="K17">
            <v>20.063300000000002</v>
          </cell>
        </row>
        <row r="18">
          <cell r="D18">
            <v>491.87293999999997</v>
          </cell>
          <cell r="E18">
            <v>837.58848595728966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491.87293999999997</v>
          </cell>
          <cell r="K18">
            <v>837.58848595728966</v>
          </cell>
          <cell r="L18">
            <v>0</v>
          </cell>
          <cell r="M18">
            <v>0</v>
          </cell>
        </row>
        <row r="20">
          <cell r="D20">
            <v>75</v>
          </cell>
          <cell r="E20">
            <v>75</v>
          </cell>
          <cell r="J20">
            <v>75</v>
          </cell>
          <cell r="K20">
            <v>75</v>
          </cell>
        </row>
        <row r="21">
          <cell r="D21">
            <v>3320.1423450000002</v>
          </cell>
          <cell r="E21">
            <v>3759.2384228679671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3320.1423450000002</v>
          </cell>
          <cell r="K21">
            <v>3759.2384228679671</v>
          </cell>
          <cell r="L21">
            <v>0</v>
          </cell>
          <cell r="M21">
            <v>0</v>
          </cell>
        </row>
        <row r="23">
          <cell r="D23">
            <v>15</v>
          </cell>
          <cell r="E23">
            <v>16</v>
          </cell>
          <cell r="J23">
            <v>15</v>
          </cell>
          <cell r="K23">
            <v>16</v>
          </cell>
        </row>
        <row r="24">
          <cell r="D24">
            <v>590.24752799999999</v>
          </cell>
          <cell r="E24">
            <v>667.95670579199998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590.24752799999999</v>
          </cell>
          <cell r="K24">
            <v>667.95670579199998</v>
          </cell>
          <cell r="L24">
            <v>0</v>
          </cell>
          <cell r="M24">
            <v>0</v>
          </cell>
        </row>
        <row r="26">
          <cell r="D26">
            <v>33</v>
          </cell>
          <cell r="E26">
            <v>38</v>
          </cell>
          <cell r="J26">
            <v>33</v>
          </cell>
          <cell r="K26">
            <v>38</v>
          </cell>
        </row>
        <row r="27">
          <cell r="D27">
            <v>1298.5445616</v>
          </cell>
          <cell r="E27">
            <v>1586.397176256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1298.5445616</v>
          </cell>
          <cell r="K27">
            <v>1586.397176256</v>
          </cell>
          <cell r="L27">
            <v>0</v>
          </cell>
          <cell r="M27">
            <v>0</v>
          </cell>
        </row>
        <row r="29">
          <cell r="D29">
            <v>1.5730999999999999</v>
          </cell>
          <cell r="E29">
            <v>1</v>
          </cell>
          <cell r="J29">
            <v>1.5730999999999999</v>
          </cell>
          <cell r="K29">
            <v>1</v>
          </cell>
        </row>
        <row r="30">
          <cell r="D30">
            <v>151.5806265629526</v>
          </cell>
          <cell r="E30">
            <v>110.25910202073256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151.5806265629526</v>
          </cell>
          <cell r="K30">
            <v>110.25910202073256</v>
          </cell>
          <cell r="L30">
            <v>0</v>
          </cell>
          <cell r="M30">
            <v>0</v>
          </cell>
        </row>
        <row r="31">
          <cell r="D31">
            <v>9787.3715211629533</v>
          </cell>
          <cell r="E31">
            <v>11136.169304093988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9787.3715211629533</v>
          </cell>
          <cell r="K31">
            <v>11136.169304093988</v>
          </cell>
          <cell r="L31">
            <v>0</v>
          </cell>
          <cell r="M31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14</v>
          </cell>
          <cell r="E34">
            <v>15</v>
          </cell>
          <cell r="J34">
            <v>14</v>
          </cell>
          <cell r="K34">
            <v>15</v>
          </cell>
        </row>
        <row r="35">
          <cell r="D35">
            <v>193803.95611902646</v>
          </cell>
          <cell r="E35">
            <v>201802.38779018304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193803.95611902646</v>
          </cell>
          <cell r="K35">
            <v>201802.38779018304</v>
          </cell>
          <cell r="L35">
            <v>0</v>
          </cell>
          <cell r="M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3">
          <cell r="D43">
            <v>1650</v>
          </cell>
          <cell r="E43">
            <v>1510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1650</v>
          </cell>
          <cell r="K43">
            <v>1510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193803.95611902646</v>
          </cell>
          <cell r="E46">
            <v>201802.38779018304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193803.95611902646</v>
          </cell>
          <cell r="K46">
            <v>201802.38779018304</v>
          </cell>
          <cell r="L46">
            <v>0</v>
          </cell>
          <cell r="M46">
            <v>0</v>
          </cell>
        </row>
        <row r="47">
          <cell r="D47">
            <v>9788.078591870024</v>
          </cell>
          <cell r="E47">
            <v>11136.997118663523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>
            <v>9788.078591870024</v>
          </cell>
          <cell r="K47">
            <v>11136.997118663523</v>
          </cell>
          <cell r="L47" t="e">
            <v>#DIV/0!</v>
          </cell>
          <cell r="M47" t="e">
            <v>#DIV/0!</v>
          </cell>
        </row>
      </sheetData>
      <sheetData sheetId="21" refreshError="1">
        <row r="7">
          <cell r="C7">
            <v>6337989</v>
          </cell>
          <cell r="D7">
            <v>5708546</v>
          </cell>
          <cell r="I7">
            <v>6337989</v>
          </cell>
          <cell r="J7">
            <v>5708546</v>
          </cell>
        </row>
        <row r="8">
          <cell r="C8">
            <v>116882</v>
          </cell>
          <cell r="D8">
            <v>116882</v>
          </cell>
          <cell r="I8">
            <v>116882</v>
          </cell>
          <cell r="J8">
            <v>116882</v>
          </cell>
        </row>
        <row r="9">
          <cell r="C9">
            <v>1375768</v>
          </cell>
          <cell r="D9">
            <v>15142</v>
          </cell>
          <cell r="I9">
            <v>1375768</v>
          </cell>
          <cell r="J9">
            <v>15142</v>
          </cell>
        </row>
        <row r="10">
          <cell r="C10">
            <v>5708546</v>
          </cell>
          <cell r="D10">
            <v>5759416</v>
          </cell>
          <cell r="I10">
            <v>5708546</v>
          </cell>
          <cell r="J10">
            <v>5759416</v>
          </cell>
        </row>
        <row r="11">
          <cell r="C11">
            <v>2.6997767907975168</v>
          </cell>
          <cell r="D11">
            <v>2.1736752476292738</v>
          </cell>
          <cell r="I11">
            <v>2.2000000000000002</v>
          </cell>
          <cell r="J11">
            <v>2.2000000000000002</v>
          </cell>
        </row>
        <row r="12">
          <cell r="C12">
            <v>154118</v>
          </cell>
          <cell r="D12">
            <v>125191</v>
          </cell>
          <cell r="I12">
            <v>154118</v>
          </cell>
          <cell r="J12">
            <v>125191</v>
          </cell>
        </row>
      </sheetData>
      <sheetData sheetId="22" refreshError="1"/>
      <sheetData sheetId="23" refreshError="1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42290</v>
          </cell>
          <cell r="D9">
            <v>46908</v>
          </cell>
        </row>
        <row r="10">
          <cell r="C10">
            <v>6766</v>
          </cell>
          <cell r="D10">
            <v>7505</v>
          </cell>
        </row>
        <row r="11">
          <cell r="C11">
            <v>12755</v>
          </cell>
          <cell r="D11">
            <v>14147</v>
          </cell>
        </row>
        <row r="12">
          <cell r="C12">
            <v>297328</v>
          </cell>
          <cell r="D12">
            <v>280709</v>
          </cell>
        </row>
        <row r="14">
          <cell r="C14">
            <v>131304</v>
          </cell>
          <cell r="D14">
            <v>98672</v>
          </cell>
        </row>
        <row r="15">
          <cell r="C15">
            <v>0</v>
          </cell>
          <cell r="D15">
            <v>0</v>
          </cell>
        </row>
        <row r="16">
          <cell r="C16">
            <v>166024</v>
          </cell>
          <cell r="D16">
            <v>182037</v>
          </cell>
        </row>
        <row r="17">
          <cell r="C17">
            <v>0</v>
          </cell>
          <cell r="D17">
            <v>0</v>
          </cell>
        </row>
        <row r="18">
          <cell r="C18">
            <v>97937</v>
          </cell>
          <cell r="D18">
            <v>108542</v>
          </cell>
        </row>
        <row r="19">
          <cell r="C19">
            <v>122743</v>
          </cell>
          <cell r="D19">
            <v>547059</v>
          </cell>
        </row>
        <row r="21">
          <cell r="C21">
            <v>0</v>
          </cell>
          <cell r="D21">
            <v>0</v>
          </cell>
        </row>
        <row r="22">
          <cell r="C22">
            <v>654</v>
          </cell>
          <cell r="D22">
            <v>18013</v>
          </cell>
        </row>
        <row r="23">
          <cell r="C23">
            <v>102</v>
          </cell>
          <cell r="D23">
            <v>144</v>
          </cell>
        </row>
        <row r="24">
          <cell r="C24">
            <v>0</v>
          </cell>
          <cell r="D24">
            <v>207000</v>
          </cell>
        </row>
        <row r="25">
          <cell r="C25">
            <v>0</v>
          </cell>
          <cell r="D25">
            <v>0</v>
          </cell>
        </row>
        <row r="26">
          <cell r="C26">
            <v>6110</v>
          </cell>
          <cell r="D26">
            <v>6221</v>
          </cell>
        </row>
        <row r="28">
          <cell r="C28">
            <v>0</v>
          </cell>
          <cell r="D28">
            <v>0</v>
          </cell>
        </row>
        <row r="30">
          <cell r="C30">
            <v>115877</v>
          </cell>
          <cell r="D30">
            <v>315681</v>
          </cell>
        </row>
        <row r="32">
          <cell r="C32">
            <v>0</v>
          </cell>
          <cell r="D32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160989.48450000002</v>
          </cell>
          <cell r="D35">
            <v>250702.155</v>
          </cell>
        </row>
        <row r="36">
          <cell r="C36">
            <v>0</v>
          </cell>
          <cell r="D36">
            <v>0</v>
          </cell>
        </row>
        <row r="37">
          <cell r="C37">
            <v>160989.48450000002</v>
          </cell>
          <cell r="D37">
            <v>250702.155</v>
          </cell>
        </row>
        <row r="38">
          <cell r="C38">
            <v>0</v>
          </cell>
          <cell r="D38">
            <v>68276</v>
          </cell>
        </row>
        <row r="39">
          <cell r="C39">
            <v>0</v>
          </cell>
          <cell r="D39">
            <v>0</v>
          </cell>
        </row>
        <row r="40">
          <cell r="C40">
            <v>740808.48450000002</v>
          </cell>
          <cell r="D40">
            <v>1323848.155</v>
          </cell>
        </row>
        <row r="41">
          <cell r="C41">
            <v>3011.66</v>
          </cell>
          <cell r="D41">
            <v>3032</v>
          </cell>
        </row>
        <row r="42">
          <cell r="C42">
            <v>245.98011877170731</v>
          </cell>
          <cell r="D42">
            <v>436.62538093667547</v>
          </cell>
        </row>
        <row r="44">
          <cell r="C44">
            <v>53.455398185718188</v>
          </cell>
          <cell r="D44">
            <v>82.685407321899731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53.455398185718188</v>
          </cell>
          <cell r="D48">
            <v>82.685407321899731</v>
          </cell>
        </row>
        <row r="49">
          <cell r="C49">
            <v>605027</v>
          </cell>
          <cell r="D49">
            <v>866146</v>
          </cell>
        </row>
        <row r="51">
          <cell r="C51">
            <v>0</v>
          </cell>
          <cell r="D51">
            <v>0</v>
          </cell>
        </row>
        <row r="52">
          <cell r="C52">
            <v>605027</v>
          </cell>
          <cell r="D52">
            <v>866146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160989.48450000002</v>
          </cell>
          <cell r="D55">
            <v>250702.155</v>
          </cell>
        </row>
      </sheetData>
      <sheetData sheetId="24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</row>
        <row r="28">
          <cell r="C28">
            <v>0</v>
          </cell>
          <cell r="D28">
            <v>0</v>
          </cell>
        </row>
        <row r="30">
          <cell r="C30">
            <v>0</v>
          </cell>
          <cell r="D30">
            <v>0</v>
          </cell>
        </row>
        <row r="32">
          <cell r="C32">
            <v>0</v>
          </cell>
          <cell r="D32">
            <v>0</v>
          </cell>
        </row>
        <row r="34">
          <cell r="C34">
            <v>0</v>
          </cell>
          <cell r="D34">
            <v>0</v>
          </cell>
          <cell r="F34">
            <v>0</v>
          </cell>
          <cell r="G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</row>
        <row r="39">
          <cell r="C39" t="e">
            <v>#DIV/0!</v>
          </cell>
          <cell r="D39" t="e">
            <v>#DIV/0!</v>
          </cell>
          <cell r="F39">
            <v>0</v>
          </cell>
          <cell r="G39">
            <v>0</v>
          </cell>
        </row>
        <row r="41">
          <cell r="C41" t="e">
            <v>#DIV/0!</v>
          </cell>
          <cell r="D41" t="e">
            <v>#DIV/0!</v>
          </cell>
          <cell r="F41">
            <v>0</v>
          </cell>
          <cell r="G41">
            <v>0</v>
          </cell>
        </row>
        <row r="43">
          <cell r="C43" t="e">
            <v>#DIV/0!</v>
          </cell>
          <cell r="D43" t="e">
            <v>#DIV/0!</v>
          </cell>
          <cell r="F43">
            <v>0</v>
          </cell>
          <cell r="G43">
            <v>0</v>
          </cell>
        </row>
        <row r="44">
          <cell r="C44" t="e">
            <v>#DIV/0!</v>
          </cell>
          <cell r="D44" t="e">
            <v>#DIV/0!</v>
          </cell>
          <cell r="F44">
            <v>0</v>
          </cell>
          <cell r="G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</row>
        <row r="47">
          <cell r="C47">
            <v>0</v>
          </cell>
          <cell r="D47">
            <v>0</v>
          </cell>
        </row>
      </sheetData>
      <sheetData sheetId="25" refreshError="1">
        <row r="9">
          <cell r="C9">
            <v>42290</v>
          </cell>
          <cell r="E9">
            <v>46908</v>
          </cell>
        </row>
        <row r="10">
          <cell r="C10">
            <v>6766</v>
          </cell>
          <cell r="E10">
            <v>7505</v>
          </cell>
        </row>
        <row r="11">
          <cell r="C11">
            <v>12755</v>
          </cell>
          <cell r="E11">
            <v>14147</v>
          </cell>
        </row>
        <row r="12">
          <cell r="C12">
            <v>297328</v>
          </cell>
          <cell r="D12">
            <v>0</v>
          </cell>
          <cell r="E12">
            <v>280709</v>
          </cell>
          <cell r="F12">
            <v>0</v>
          </cell>
        </row>
        <row r="14">
          <cell r="C14">
            <v>131304</v>
          </cell>
          <cell r="D14">
            <v>0</v>
          </cell>
          <cell r="E14">
            <v>98672</v>
          </cell>
          <cell r="F14">
            <v>0</v>
          </cell>
        </row>
        <row r="15">
          <cell r="B15" t="str">
            <v>ВН</v>
          </cell>
          <cell r="C15">
            <v>46744</v>
          </cell>
          <cell r="E15">
            <v>33638</v>
          </cell>
        </row>
        <row r="16">
          <cell r="B16" t="str">
            <v>СН1</v>
          </cell>
          <cell r="C16">
            <v>11292</v>
          </cell>
          <cell r="E16">
            <v>8471</v>
          </cell>
        </row>
        <row r="17">
          <cell r="B17" t="str">
            <v>СН2</v>
          </cell>
          <cell r="C17">
            <v>53966</v>
          </cell>
          <cell r="E17">
            <v>43159</v>
          </cell>
        </row>
        <row r="18">
          <cell r="B18" t="str">
            <v>НН</v>
          </cell>
          <cell r="C18">
            <v>19302</v>
          </cell>
          <cell r="E18">
            <v>13404</v>
          </cell>
        </row>
        <row r="20">
          <cell r="C20">
            <v>166024</v>
          </cell>
          <cell r="E20">
            <v>182037</v>
          </cell>
        </row>
        <row r="22">
          <cell r="C22">
            <v>97937</v>
          </cell>
          <cell r="E22">
            <v>108542</v>
          </cell>
        </row>
        <row r="23">
          <cell r="C23">
            <v>122743</v>
          </cell>
          <cell r="D23">
            <v>0</v>
          </cell>
          <cell r="E23">
            <v>340059</v>
          </cell>
          <cell r="F23">
            <v>0</v>
          </cell>
        </row>
        <row r="25">
          <cell r="E25">
            <v>0</v>
          </cell>
        </row>
        <row r="26">
          <cell r="C26">
            <v>654</v>
          </cell>
          <cell r="E26">
            <v>18013</v>
          </cell>
        </row>
        <row r="27">
          <cell r="C27">
            <v>102</v>
          </cell>
          <cell r="E27">
            <v>144</v>
          </cell>
        </row>
        <row r="29">
          <cell r="C29">
            <v>6110</v>
          </cell>
          <cell r="D29">
            <v>0</v>
          </cell>
          <cell r="E29">
            <v>6221</v>
          </cell>
          <cell r="F29">
            <v>0</v>
          </cell>
        </row>
        <row r="33">
          <cell r="C33">
            <v>115877</v>
          </cell>
          <cell r="E33">
            <v>315681</v>
          </cell>
        </row>
        <row r="37">
          <cell r="C37">
            <v>25208</v>
          </cell>
          <cell r="E37">
            <v>68276</v>
          </cell>
        </row>
        <row r="39">
          <cell r="C39">
            <v>605027</v>
          </cell>
          <cell r="D39">
            <v>0</v>
          </cell>
          <cell r="E39">
            <v>866146</v>
          </cell>
          <cell r="F39">
            <v>0</v>
          </cell>
        </row>
        <row r="41">
          <cell r="B41" t="str">
            <v>ВН</v>
          </cell>
          <cell r="C41">
            <v>183481.86249844282</v>
          </cell>
          <cell r="E41">
            <v>255165.67394264136</v>
          </cell>
        </row>
        <row r="42">
          <cell r="B42" t="str">
            <v>СН1</v>
          </cell>
          <cell r="C42">
            <v>56592.577969076228</v>
          </cell>
          <cell r="E42">
            <v>81862.023396032717</v>
          </cell>
        </row>
        <row r="43">
          <cell r="B43" t="str">
            <v>СН2</v>
          </cell>
          <cell r="C43">
            <v>266213.90916865389</v>
          </cell>
          <cell r="E43">
            <v>387019.76217811572</v>
          </cell>
        </row>
        <row r="44">
          <cell r="B44" t="str">
            <v>НН</v>
          </cell>
          <cell r="C44">
            <v>98738.65036382711</v>
          </cell>
          <cell r="E44">
            <v>142098.54048321032</v>
          </cell>
        </row>
        <row r="45">
          <cell r="C45">
            <v>3011.66</v>
          </cell>
          <cell r="E45">
            <v>3032</v>
          </cell>
        </row>
        <row r="46">
          <cell r="C46">
            <v>200.8948553289548</v>
          </cell>
          <cell r="E46">
            <v>285.66820580474933</v>
          </cell>
        </row>
        <row r="47">
          <cell r="C47">
            <v>605027</v>
          </cell>
          <cell r="E47">
            <v>866146</v>
          </cell>
        </row>
        <row r="50">
          <cell r="C50">
            <v>0</v>
          </cell>
          <cell r="E50">
            <v>207000</v>
          </cell>
        </row>
      </sheetData>
      <sheetData sheetId="26" refreshError="1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0</v>
          </cell>
          <cell r="D29">
            <v>0</v>
          </cell>
        </row>
        <row r="31">
          <cell r="C31">
            <v>0</v>
          </cell>
          <cell r="D31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 t="e">
            <v>#DIV/0!</v>
          </cell>
          <cell r="D40" t="e">
            <v>#DIV/0!</v>
          </cell>
        </row>
        <row r="42">
          <cell r="C42" t="e">
            <v>#DIV/0!</v>
          </cell>
          <cell r="D42" t="e">
            <v>#DIV/0!</v>
          </cell>
        </row>
        <row r="44">
          <cell r="C44" t="e">
            <v>#DIV/0!</v>
          </cell>
          <cell r="D44" t="e">
            <v>#DIV/0!</v>
          </cell>
        </row>
        <row r="45">
          <cell r="C45" t="e">
            <v>#DIV/0!</v>
          </cell>
          <cell r="D45" t="e">
            <v>#DIV/0!</v>
          </cell>
        </row>
        <row r="46">
          <cell r="C46">
            <v>0</v>
          </cell>
          <cell r="D46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</sheetData>
      <sheetData sheetId="27" refreshError="1"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</row>
        <row r="29">
          <cell r="C29">
            <v>0</v>
          </cell>
          <cell r="D29">
            <v>0</v>
          </cell>
        </row>
        <row r="31">
          <cell r="C31">
            <v>0</v>
          </cell>
          <cell r="D31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</row>
        <row r="44">
          <cell r="C44">
            <v>0</v>
          </cell>
          <cell r="D44">
            <v>0</v>
          </cell>
        </row>
      </sheetData>
      <sheetData sheetId="28" refreshError="1"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</row>
        <row r="39">
          <cell r="C39" t="e">
            <v>#DIV/0!</v>
          </cell>
          <cell r="D39" t="e">
            <v>#DIV/0!</v>
          </cell>
          <cell r="F39">
            <v>0</v>
          </cell>
          <cell r="G39">
            <v>0</v>
          </cell>
        </row>
        <row r="41">
          <cell r="C41" t="e">
            <v>#DIV/0!</v>
          </cell>
          <cell r="D41" t="e">
            <v>#DIV/0!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</row>
      </sheetData>
      <sheetData sheetId="29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E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J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0</v>
          </cell>
          <cell r="E48">
            <v>0</v>
          </cell>
          <cell r="H48">
            <v>0</v>
          </cell>
          <cell r="J48">
            <v>0</v>
          </cell>
        </row>
        <row r="49">
          <cell r="C49">
            <v>0</v>
          </cell>
          <cell r="E49">
            <v>0</v>
          </cell>
          <cell r="H49">
            <v>0</v>
          </cell>
          <cell r="J49">
            <v>0</v>
          </cell>
        </row>
      </sheetData>
      <sheetData sheetId="30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K26">
            <v>0</v>
          </cell>
          <cell r="L26">
            <v>0</v>
          </cell>
        </row>
      </sheetData>
      <sheetData sheetId="31" refreshError="1"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</sheetData>
      <sheetData sheetId="32" refreshError="1">
        <row r="6">
          <cell r="C6">
            <v>0</v>
          </cell>
          <cell r="D6">
            <v>0</v>
          </cell>
        </row>
        <row r="8">
          <cell r="C8">
            <v>0</v>
          </cell>
          <cell r="D8">
            <v>29693</v>
          </cell>
        </row>
        <row r="9">
          <cell r="C9">
            <v>2387</v>
          </cell>
          <cell r="D9">
            <v>2429</v>
          </cell>
        </row>
        <row r="11">
          <cell r="C11">
            <v>0</v>
          </cell>
          <cell r="D11">
            <v>0</v>
          </cell>
        </row>
        <row r="12">
          <cell r="C12">
            <v>4984</v>
          </cell>
          <cell r="D12">
            <v>4869</v>
          </cell>
        </row>
        <row r="13">
          <cell r="C13">
            <v>8173</v>
          </cell>
          <cell r="D13">
            <v>8786</v>
          </cell>
        </row>
        <row r="14">
          <cell r="C14">
            <v>15283</v>
          </cell>
          <cell r="D14">
            <v>17372</v>
          </cell>
        </row>
        <row r="16">
          <cell r="C16">
            <v>7286</v>
          </cell>
          <cell r="D16">
            <v>8974</v>
          </cell>
        </row>
        <row r="17">
          <cell r="C17">
            <v>3380</v>
          </cell>
          <cell r="D17">
            <v>3635</v>
          </cell>
        </row>
        <row r="18">
          <cell r="C18">
            <v>4617</v>
          </cell>
          <cell r="D18">
            <v>4763</v>
          </cell>
        </row>
        <row r="20">
          <cell r="C20">
            <v>0</v>
          </cell>
          <cell r="D20">
            <v>0</v>
          </cell>
        </row>
        <row r="22">
          <cell r="C22">
            <v>30827</v>
          </cell>
          <cell r="D22">
            <v>24670</v>
          </cell>
        </row>
        <row r="23">
          <cell r="C23">
            <v>11162</v>
          </cell>
          <cell r="D23">
            <v>8869</v>
          </cell>
        </row>
        <row r="25">
          <cell r="C25">
            <v>6545</v>
          </cell>
          <cell r="D25">
            <v>5921</v>
          </cell>
        </row>
        <row r="26">
          <cell r="C26">
            <v>2877</v>
          </cell>
          <cell r="D26">
            <v>1936</v>
          </cell>
        </row>
        <row r="27">
          <cell r="C27">
            <v>0</v>
          </cell>
          <cell r="D27">
            <v>0</v>
          </cell>
        </row>
        <row r="28">
          <cell r="C28">
            <v>1740</v>
          </cell>
          <cell r="D28">
            <v>1012</v>
          </cell>
        </row>
        <row r="30">
          <cell r="C30">
            <v>0</v>
          </cell>
          <cell r="D30">
            <v>0</v>
          </cell>
        </row>
        <row r="32">
          <cell r="C32">
            <v>41989</v>
          </cell>
          <cell r="D32">
            <v>72018</v>
          </cell>
        </row>
        <row r="34">
          <cell r="C34">
            <v>0</v>
          </cell>
          <cell r="D34">
            <v>0</v>
          </cell>
        </row>
        <row r="35">
          <cell r="C35">
            <v>41989</v>
          </cell>
          <cell r="D35">
            <v>72018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</sheetData>
      <sheetData sheetId="33" refreshError="1">
        <row r="8">
          <cell r="C8">
            <v>0</v>
          </cell>
          <cell r="D8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</row>
        <row r="22">
          <cell r="C22">
            <v>0</v>
          </cell>
          <cell r="D22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C32">
            <v>0</v>
          </cell>
          <cell r="D32">
            <v>0</v>
          </cell>
        </row>
        <row r="34">
          <cell r="C34">
            <v>0</v>
          </cell>
          <cell r="D34">
            <v>0</v>
          </cell>
          <cell r="F34">
            <v>0</v>
          </cell>
          <cell r="G34">
            <v>0</v>
          </cell>
        </row>
      </sheetData>
      <sheetData sheetId="34" refreshError="1"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</row>
      </sheetData>
      <sheetData sheetId="35" refreshError="1"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</row>
      </sheetData>
      <sheetData sheetId="36" refreshError="1">
        <row r="12">
          <cell r="C12">
            <v>0</v>
          </cell>
          <cell r="D12">
            <v>0</v>
          </cell>
          <cell r="E12">
            <v>29693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29693</v>
          </cell>
        </row>
        <row r="14">
          <cell r="B14" t="str">
            <v>СН1</v>
          </cell>
        </row>
        <row r="15">
          <cell r="B15" t="str">
            <v>СН2</v>
          </cell>
        </row>
        <row r="16">
          <cell r="B16" t="str">
            <v>НН</v>
          </cell>
        </row>
        <row r="17">
          <cell r="C17">
            <v>2387</v>
          </cell>
          <cell r="E17">
            <v>2429</v>
          </cell>
        </row>
        <row r="20">
          <cell r="C20">
            <v>4984</v>
          </cell>
          <cell r="E20">
            <v>4869</v>
          </cell>
        </row>
        <row r="21">
          <cell r="C21">
            <v>8173</v>
          </cell>
          <cell r="E21">
            <v>8786</v>
          </cell>
        </row>
        <row r="22">
          <cell r="C22">
            <v>15283</v>
          </cell>
          <cell r="E22">
            <v>17372</v>
          </cell>
        </row>
        <row r="24">
          <cell r="C24">
            <v>7286</v>
          </cell>
          <cell r="E24">
            <v>8974</v>
          </cell>
        </row>
        <row r="25">
          <cell r="C25">
            <v>3380</v>
          </cell>
          <cell r="E25">
            <v>3635</v>
          </cell>
        </row>
        <row r="26">
          <cell r="C26">
            <v>4617</v>
          </cell>
          <cell r="D26">
            <v>0</v>
          </cell>
          <cell r="E26">
            <v>4763</v>
          </cell>
          <cell r="F26">
            <v>0</v>
          </cell>
        </row>
        <row r="30">
          <cell r="C30">
            <v>30827</v>
          </cell>
          <cell r="E30">
            <v>24670</v>
          </cell>
        </row>
        <row r="31">
          <cell r="C31">
            <v>11162</v>
          </cell>
          <cell r="D31">
            <v>0</v>
          </cell>
          <cell r="E31">
            <v>8869</v>
          </cell>
          <cell r="F31">
            <v>0</v>
          </cell>
        </row>
        <row r="33">
          <cell r="C33">
            <v>6545</v>
          </cell>
          <cell r="E33">
            <v>5921</v>
          </cell>
        </row>
        <row r="34">
          <cell r="B34" t="str">
            <v>ВН</v>
          </cell>
          <cell r="C34">
            <v>2330</v>
          </cell>
          <cell r="E34">
            <v>1699</v>
          </cell>
        </row>
        <row r="35">
          <cell r="B35" t="str">
            <v>СН1</v>
          </cell>
          <cell r="C35">
            <v>566</v>
          </cell>
          <cell r="E35">
            <v>562</v>
          </cell>
        </row>
        <row r="36">
          <cell r="B36" t="str">
            <v>СН2</v>
          </cell>
          <cell r="C36">
            <v>2687</v>
          </cell>
          <cell r="E36">
            <v>2676</v>
          </cell>
        </row>
        <row r="37">
          <cell r="B37" t="str">
            <v>НН</v>
          </cell>
          <cell r="C37">
            <v>962</v>
          </cell>
          <cell r="E37">
            <v>984</v>
          </cell>
        </row>
        <row r="38">
          <cell r="C38">
            <v>2877</v>
          </cell>
          <cell r="E38">
            <v>1936</v>
          </cell>
        </row>
        <row r="39">
          <cell r="B39" t="str">
            <v>ВН</v>
          </cell>
          <cell r="C39">
            <v>1036</v>
          </cell>
          <cell r="E39">
            <v>556</v>
          </cell>
        </row>
        <row r="40">
          <cell r="B40" t="str">
            <v>СН1</v>
          </cell>
          <cell r="C40">
            <v>270</v>
          </cell>
          <cell r="E40">
            <v>184</v>
          </cell>
        </row>
        <row r="41">
          <cell r="B41" t="str">
            <v>СН2</v>
          </cell>
          <cell r="C41">
            <v>1119</v>
          </cell>
          <cell r="E41">
            <v>875</v>
          </cell>
        </row>
        <row r="42">
          <cell r="B42" t="str">
            <v>НН</v>
          </cell>
          <cell r="C42">
            <v>452</v>
          </cell>
          <cell r="E42">
            <v>321</v>
          </cell>
        </row>
        <row r="44">
          <cell r="C44">
            <v>1740</v>
          </cell>
          <cell r="D44">
            <v>0</v>
          </cell>
          <cell r="E44">
            <v>1012</v>
          </cell>
          <cell r="F44">
            <v>0</v>
          </cell>
        </row>
        <row r="48">
          <cell r="C48">
            <v>41989</v>
          </cell>
          <cell r="E48">
            <v>72018</v>
          </cell>
        </row>
        <row r="50">
          <cell r="B50" t="str">
            <v>ВН</v>
          </cell>
          <cell r="C50">
            <v>14963</v>
          </cell>
          <cell r="E50">
            <v>20669</v>
          </cell>
        </row>
        <row r="51">
          <cell r="B51" t="str">
            <v>СН1</v>
          </cell>
          <cell r="C51">
            <v>3650</v>
          </cell>
          <cell r="E51">
            <v>6842</v>
          </cell>
        </row>
        <row r="52">
          <cell r="B52" t="str">
            <v>СН2</v>
          </cell>
          <cell r="C52">
            <v>17175</v>
          </cell>
          <cell r="E52">
            <v>32552</v>
          </cell>
        </row>
        <row r="53">
          <cell r="B53" t="str">
            <v>НН</v>
          </cell>
          <cell r="C53">
            <v>6201</v>
          </cell>
          <cell r="E53">
            <v>11955</v>
          </cell>
        </row>
      </sheetData>
      <sheetData sheetId="37" refreshError="1"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</row>
      </sheetData>
      <sheetData sheetId="38" refreshError="1">
        <row r="5">
          <cell r="J5" t="str">
            <v>Всего</v>
          </cell>
        </row>
        <row r="7">
          <cell r="A7" t="str">
            <v>1.</v>
          </cell>
          <cell r="B7" t="str">
            <v>Условно-переменные затраты</v>
          </cell>
          <cell r="C7" t="str">
            <v>Всего</v>
          </cell>
          <cell r="D7" t="str">
            <v>тыс.руб.</v>
          </cell>
          <cell r="E7">
            <v>190194</v>
          </cell>
          <cell r="F7">
            <v>246322.8</v>
          </cell>
          <cell r="H7">
            <v>0</v>
          </cell>
          <cell r="J7">
            <v>0</v>
          </cell>
          <cell r="K7">
            <v>250702.155</v>
          </cell>
        </row>
        <row r="8">
          <cell r="A8" t="str">
            <v>1.1.</v>
          </cell>
          <cell r="B8" t="str">
            <v>Электростанции ЭСО - всего</v>
          </cell>
          <cell r="C8" t="str">
            <v>Электростанции ЭСО</v>
          </cell>
          <cell r="E8">
            <v>0</v>
          </cell>
          <cell r="F8">
            <v>0</v>
          </cell>
          <cell r="H8">
            <v>0</v>
          </cell>
          <cell r="J8">
            <v>0</v>
          </cell>
          <cell r="K8">
            <v>0</v>
          </cell>
        </row>
        <row r="9">
          <cell r="B9" t="str">
            <v xml:space="preserve">    в т.ч. по источникам</v>
          </cell>
        </row>
        <row r="10">
          <cell r="C10" t="str">
            <v/>
          </cell>
          <cell r="E10">
            <v>0</v>
          </cell>
          <cell r="F10">
            <v>0</v>
          </cell>
          <cell r="H10">
            <v>0</v>
          </cell>
          <cell r="J10">
            <v>0</v>
          </cell>
          <cell r="K10">
            <v>0</v>
          </cell>
        </row>
        <row r="12">
          <cell r="A12" t="str">
            <v>1.2.</v>
          </cell>
          <cell r="B12" t="str">
            <v>С оптового рынка</v>
          </cell>
          <cell r="C12" t="str">
            <v>ФОРЭМ</v>
          </cell>
          <cell r="E12">
            <v>160989.48450000002</v>
          </cell>
          <cell r="F12">
            <v>250702.155</v>
          </cell>
          <cell r="K12">
            <v>250702.155</v>
          </cell>
        </row>
        <row r="13">
          <cell r="A13" t="str">
            <v>1.3.</v>
          </cell>
          <cell r="B13" t="str">
            <v>Блокстанции</v>
          </cell>
          <cell r="E13">
            <v>0</v>
          </cell>
          <cell r="F13">
            <v>0</v>
          </cell>
          <cell r="K13">
            <v>0</v>
          </cell>
        </row>
        <row r="14">
          <cell r="A14" t="str">
            <v>1.4.</v>
          </cell>
          <cell r="B14" t="str">
            <v>ПЭ - всего</v>
          </cell>
          <cell r="C14" t="str">
            <v>Сторонние поставщики</v>
          </cell>
          <cell r="E14">
            <v>0</v>
          </cell>
          <cell r="F14">
            <v>0</v>
          </cell>
          <cell r="K14">
            <v>0</v>
          </cell>
        </row>
        <row r="15">
          <cell r="B15" t="str">
            <v xml:space="preserve">    в т.ч. по поставщикам</v>
          </cell>
        </row>
        <row r="16">
          <cell r="C16" t="str">
            <v/>
          </cell>
          <cell r="E16">
            <v>0</v>
          </cell>
          <cell r="F16">
            <v>0</v>
          </cell>
          <cell r="K16">
            <v>0</v>
          </cell>
        </row>
        <row r="20">
          <cell r="A20" t="str">
            <v>2.</v>
          </cell>
          <cell r="B20" t="str">
            <v>Условно-постоянные расходы</v>
          </cell>
          <cell r="C20" t="str">
            <v>Всего</v>
          </cell>
          <cell r="D20" t="str">
            <v>тыс.руб.</v>
          </cell>
          <cell r="E20">
            <v>0</v>
          </cell>
          <cell r="F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A21" t="str">
            <v>2.1.</v>
          </cell>
          <cell r="B21" t="str">
            <v>Электростанции ЭСО - всего</v>
          </cell>
          <cell r="C21" t="str">
            <v>Электростанции ЭСО</v>
          </cell>
          <cell r="E21">
            <v>0</v>
          </cell>
          <cell r="F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B22" t="str">
            <v>в т.ч. по источникам</v>
          </cell>
        </row>
        <row r="23">
          <cell r="C23" t="str">
            <v/>
          </cell>
          <cell r="E23">
            <v>0</v>
          </cell>
          <cell r="F23">
            <v>0</v>
          </cell>
          <cell r="H23">
            <v>0</v>
          </cell>
          <cell r="J23">
            <v>0</v>
          </cell>
          <cell r="K23">
            <v>0</v>
          </cell>
        </row>
        <row r="25">
          <cell r="A25" t="str">
            <v>2.2.</v>
          </cell>
          <cell r="B25" t="str">
            <v>С оптового рынка</v>
          </cell>
          <cell r="C25" t="str">
            <v>ФОРЭМ</v>
          </cell>
          <cell r="E25">
            <v>0</v>
          </cell>
          <cell r="F25">
            <v>0</v>
          </cell>
          <cell r="K25">
            <v>0</v>
          </cell>
        </row>
        <row r="26">
          <cell r="A26" t="str">
            <v>2.3.</v>
          </cell>
          <cell r="B26" t="str">
            <v>Блокстанции</v>
          </cell>
          <cell r="E26">
            <v>0</v>
          </cell>
          <cell r="F26">
            <v>0</v>
          </cell>
          <cell r="K26">
            <v>0</v>
          </cell>
        </row>
        <row r="27">
          <cell r="A27" t="str">
            <v>2.4.</v>
          </cell>
          <cell r="B27" t="str">
            <v>ПЭ - всего</v>
          </cell>
          <cell r="C27" t="str">
            <v>Сторонние поставщики</v>
          </cell>
          <cell r="E27">
            <v>0</v>
          </cell>
          <cell r="F27">
            <v>0</v>
          </cell>
          <cell r="K27">
            <v>0</v>
          </cell>
        </row>
        <row r="28">
          <cell r="B28" t="str">
            <v>в т.ч. по поставщикам</v>
          </cell>
        </row>
        <row r="29">
          <cell r="C29" t="str">
            <v/>
          </cell>
          <cell r="E29">
            <v>0</v>
          </cell>
          <cell r="F29">
            <v>0</v>
          </cell>
          <cell r="K29">
            <v>0</v>
          </cell>
        </row>
        <row r="33">
          <cell r="A33" t="str">
            <v>3.</v>
          </cell>
          <cell r="B33" t="str">
            <v>Затраты всего (п.1 + п.2)</v>
          </cell>
          <cell r="C33" t="str">
            <v>Всего</v>
          </cell>
          <cell r="D33" t="str">
            <v>тыс.руб.</v>
          </cell>
          <cell r="E33">
            <v>190194</v>
          </cell>
          <cell r="F33">
            <v>246322.8</v>
          </cell>
          <cell r="H33">
            <v>0</v>
          </cell>
          <cell r="J33">
            <v>0</v>
          </cell>
          <cell r="K33">
            <v>246322.8</v>
          </cell>
        </row>
        <row r="34">
          <cell r="A34" t="str">
            <v>3.1.</v>
          </cell>
          <cell r="B34" t="str">
            <v>Электростанции ЭСО - всего</v>
          </cell>
          <cell r="C34" t="str">
            <v>Электростанции ЭСО</v>
          </cell>
          <cell r="E34">
            <v>0</v>
          </cell>
          <cell r="F34">
            <v>0</v>
          </cell>
          <cell r="H34">
            <v>0</v>
          </cell>
          <cell r="J34">
            <v>0</v>
          </cell>
          <cell r="K34">
            <v>0</v>
          </cell>
        </row>
        <row r="35">
          <cell r="B35" t="str">
            <v>в т.ч. по источникам</v>
          </cell>
        </row>
        <row r="36">
          <cell r="C36" t="str">
            <v/>
          </cell>
          <cell r="E36">
            <v>0</v>
          </cell>
          <cell r="F36">
            <v>0</v>
          </cell>
          <cell r="H36">
            <v>0</v>
          </cell>
          <cell r="J36">
            <v>0</v>
          </cell>
          <cell r="K36">
            <v>0</v>
          </cell>
        </row>
        <row r="38">
          <cell r="A38" t="str">
            <v>3.2.</v>
          </cell>
          <cell r="B38" t="str">
            <v>С оптового рынка</v>
          </cell>
          <cell r="C38" t="str">
            <v>ФОРЭМ</v>
          </cell>
          <cell r="E38">
            <v>160989.48450000002</v>
          </cell>
          <cell r="F38">
            <v>250702.155</v>
          </cell>
          <cell r="K38">
            <v>250702.155</v>
          </cell>
        </row>
        <row r="39">
          <cell r="A39" t="str">
            <v>3.3.</v>
          </cell>
          <cell r="B39" t="str">
            <v>Блокстанции</v>
          </cell>
          <cell r="E39">
            <v>0</v>
          </cell>
          <cell r="F39">
            <v>0</v>
          </cell>
          <cell r="K39">
            <v>0</v>
          </cell>
        </row>
        <row r="40">
          <cell r="A40" t="str">
            <v>3.4.</v>
          </cell>
          <cell r="B40" t="str">
            <v>ПЭ - всего</v>
          </cell>
          <cell r="C40" t="str">
            <v>Сторонние поставщики</v>
          </cell>
          <cell r="E40">
            <v>0</v>
          </cell>
          <cell r="F40">
            <v>0</v>
          </cell>
          <cell r="K40">
            <v>0</v>
          </cell>
        </row>
        <row r="41">
          <cell r="B41" t="str">
            <v>в т.ч. по поставщикам</v>
          </cell>
        </row>
        <row r="42">
          <cell r="C42" t="str">
            <v/>
          </cell>
          <cell r="E42">
            <v>0</v>
          </cell>
          <cell r="F42">
            <v>0</v>
          </cell>
          <cell r="K42">
            <v>0</v>
          </cell>
        </row>
        <row r="46">
          <cell r="A46" t="str">
            <v>4.</v>
          </cell>
          <cell r="B46" t="str">
            <v>Прибыль</v>
          </cell>
          <cell r="C46" t="str">
            <v>Всего</v>
          </cell>
          <cell r="D46" t="str">
            <v>тыс.руб.</v>
          </cell>
          <cell r="E46">
            <v>0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</row>
        <row r="47">
          <cell r="A47" t="str">
            <v>4.1.</v>
          </cell>
          <cell r="B47" t="str">
            <v>Электростанции ЭСО - всего</v>
          </cell>
          <cell r="C47" t="str">
            <v>Электростанции ЭСО</v>
          </cell>
          <cell r="E47">
            <v>0</v>
          </cell>
          <cell r="F47">
            <v>0</v>
          </cell>
          <cell r="H47">
            <v>0</v>
          </cell>
          <cell r="J47">
            <v>0</v>
          </cell>
          <cell r="K47">
            <v>0</v>
          </cell>
        </row>
        <row r="48">
          <cell r="B48" t="str">
            <v>в т.ч. по источникам</v>
          </cell>
        </row>
        <row r="49">
          <cell r="C49" t="str">
            <v/>
          </cell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</row>
        <row r="51">
          <cell r="A51" t="str">
            <v>4.2.</v>
          </cell>
          <cell r="B51" t="str">
            <v>С оптового рынка</v>
          </cell>
          <cell r="C51" t="str">
            <v>ФОРЭМ</v>
          </cell>
          <cell r="K51">
            <v>0</v>
          </cell>
        </row>
        <row r="52">
          <cell r="A52" t="str">
            <v>4.3.</v>
          </cell>
          <cell r="B52" t="str">
            <v>Блокстанции</v>
          </cell>
          <cell r="K52">
            <v>0</v>
          </cell>
        </row>
        <row r="53">
          <cell r="A53" t="str">
            <v>4.4.</v>
          </cell>
          <cell r="B53" t="str">
            <v>ПЭ - всего</v>
          </cell>
          <cell r="C53" t="str">
            <v>Сторонние поставщики</v>
          </cell>
          <cell r="E53">
            <v>0</v>
          </cell>
          <cell r="F53">
            <v>0</v>
          </cell>
          <cell r="K53">
            <v>0</v>
          </cell>
        </row>
        <row r="54">
          <cell r="B54" t="str">
            <v>в т.ч. по поставщикам</v>
          </cell>
        </row>
        <row r="55">
          <cell r="C55" t="str">
            <v/>
          </cell>
          <cell r="K55">
            <v>0</v>
          </cell>
        </row>
        <row r="60">
          <cell r="E60">
            <v>0</v>
          </cell>
          <cell r="F60">
            <v>0</v>
          </cell>
          <cell r="H60">
            <v>0</v>
          </cell>
          <cell r="J60">
            <v>0</v>
          </cell>
          <cell r="K60">
            <v>0</v>
          </cell>
        </row>
        <row r="62">
          <cell r="E62">
            <v>0</v>
          </cell>
          <cell r="F62">
            <v>0</v>
          </cell>
          <cell r="H62">
            <v>0</v>
          </cell>
          <cell r="J62">
            <v>0</v>
          </cell>
          <cell r="K62">
            <v>0</v>
          </cell>
        </row>
        <row r="64">
          <cell r="E64">
            <v>0</v>
          </cell>
          <cell r="F64">
            <v>0</v>
          </cell>
          <cell r="K64">
            <v>0</v>
          </cell>
        </row>
        <row r="65">
          <cell r="E65">
            <v>0</v>
          </cell>
          <cell r="F65">
            <v>0</v>
          </cell>
          <cell r="K65">
            <v>0</v>
          </cell>
        </row>
        <row r="66">
          <cell r="E66">
            <v>0</v>
          </cell>
          <cell r="F66">
            <v>0</v>
          </cell>
          <cell r="K66">
            <v>0</v>
          </cell>
        </row>
        <row r="68">
          <cell r="E68">
            <v>0</v>
          </cell>
          <cell r="F68">
            <v>0</v>
          </cell>
          <cell r="K68">
            <v>0</v>
          </cell>
        </row>
        <row r="72">
          <cell r="A72" t="str">
            <v>6.</v>
          </cell>
          <cell r="B72" t="str">
            <v>Необходимая валовая выручка</v>
          </cell>
          <cell r="C72" t="str">
            <v>Всего</v>
          </cell>
          <cell r="D72" t="str">
            <v>тыс.руб.</v>
          </cell>
          <cell r="E72">
            <v>190194</v>
          </cell>
          <cell r="F72">
            <v>246322.8</v>
          </cell>
          <cell r="H72">
            <v>0</v>
          </cell>
          <cell r="J72">
            <v>0</v>
          </cell>
          <cell r="K72">
            <v>246322.8</v>
          </cell>
        </row>
        <row r="73">
          <cell r="A73" t="str">
            <v>6.1.</v>
          </cell>
          <cell r="B73" t="str">
            <v>Электростанции ЭСО - всего</v>
          </cell>
          <cell r="C73" t="str">
            <v>Электростанции ЭСО</v>
          </cell>
          <cell r="E73">
            <v>0</v>
          </cell>
          <cell r="F73">
            <v>0</v>
          </cell>
          <cell r="H73">
            <v>0</v>
          </cell>
          <cell r="J73">
            <v>0</v>
          </cell>
          <cell r="K73">
            <v>0</v>
          </cell>
        </row>
        <row r="74">
          <cell r="B74" t="str">
            <v>в т.ч. по источникам</v>
          </cell>
        </row>
        <row r="75">
          <cell r="C75" t="str">
            <v/>
          </cell>
          <cell r="E75">
            <v>0</v>
          </cell>
          <cell r="F75">
            <v>0</v>
          </cell>
          <cell r="H75">
            <v>0</v>
          </cell>
          <cell r="J75">
            <v>0</v>
          </cell>
          <cell r="K75">
            <v>0</v>
          </cell>
        </row>
        <row r="77">
          <cell r="A77" t="str">
            <v>6.2.</v>
          </cell>
          <cell r="B77" t="str">
            <v>С оптового рынка</v>
          </cell>
          <cell r="C77" t="str">
            <v>ФОРЭМ</v>
          </cell>
          <cell r="E77">
            <v>160989.48450000002</v>
          </cell>
          <cell r="F77">
            <v>250702.155</v>
          </cell>
          <cell r="K77">
            <v>250702.155</v>
          </cell>
        </row>
        <row r="78">
          <cell r="A78" t="str">
            <v>6.3.</v>
          </cell>
          <cell r="B78" t="str">
            <v>Блокстанции</v>
          </cell>
          <cell r="E78">
            <v>0</v>
          </cell>
          <cell r="F78">
            <v>0</v>
          </cell>
          <cell r="K78">
            <v>0</v>
          </cell>
        </row>
        <row r="79">
          <cell r="A79" t="str">
            <v>6.4.</v>
          </cell>
          <cell r="B79" t="str">
            <v>ПЭ - всего</v>
          </cell>
          <cell r="C79" t="str">
            <v>Сторонние поставщики</v>
          </cell>
          <cell r="E79">
            <v>0</v>
          </cell>
          <cell r="F79">
            <v>0</v>
          </cell>
          <cell r="K79">
            <v>0</v>
          </cell>
        </row>
        <row r="80">
          <cell r="B80" t="str">
            <v>в т.ч. по поставщикам</v>
          </cell>
        </row>
        <row r="81">
          <cell r="C81" t="str">
            <v/>
          </cell>
          <cell r="E81">
            <v>0</v>
          </cell>
          <cell r="F81">
            <v>0</v>
          </cell>
          <cell r="K81">
            <v>0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  <cell r="H86">
            <v>0</v>
          </cell>
          <cell r="J86">
            <v>0</v>
          </cell>
        </row>
        <row r="88">
          <cell r="E88">
            <v>0</v>
          </cell>
          <cell r="F88">
            <v>0</v>
          </cell>
        </row>
        <row r="90">
          <cell r="E90">
            <v>0</v>
          </cell>
          <cell r="F90">
            <v>0</v>
          </cell>
        </row>
        <row r="91">
          <cell r="E91">
            <v>0</v>
          </cell>
          <cell r="F91">
            <v>0</v>
          </cell>
        </row>
        <row r="92">
          <cell r="E92">
            <v>0</v>
          </cell>
          <cell r="F92">
            <v>0</v>
          </cell>
        </row>
        <row r="94">
          <cell r="E94">
            <v>0</v>
          </cell>
          <cell r="F94">
            <v>0</v>
          </cell>
        </row>
        <row r="98">
          <cell r="E98">
            <v>355.55</v>
          </cell>
          <cell r="F98">
            <v>434.5</v>
          </cell>
        </row>
        <row r="99">
          <cell r="E99">
            <v>0</v>
          </cell>
          <cell r="F99">
            <v>0</v>
          </cell>
          <cell r="H99">
            <v>0</v>
          </cell>
          <cell r="J99">
            <v>0</v>
          </cell>
        </row>
        <row r="101">
          <cell r="E101">
            <v>0</v>
          </cell>
          <cell r="F101">
            <v>0</v>
          </cell>
          <cell r="H101">
            <v>0</v>
          </cell>
          <cell r="J101">
            <v>0</v>
          </cell>
        </row>
        <row r="103">
          <cell r="E103">
            <v>355.55</v>
          </cell>
          <cell r="F103">
            <v>434.5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7">
          <cell r="E107">
            <v>0</v>
          </cell>
          <cell r="F107">
            <v>0</v>
          </cell>
        </row>
        <row r="111">
          <cell r="A111" t="str">
            <v>9.</v>
          </cell>
          <cell r="B111" t="str">
            <v>Средний одноставочный тариф продажи Т(гк(ср))</v>
          </cell>
          <cell r="C111" t="str">
            <v>Всего</v>
          </cell>
          <cell r="D111" t="str">
            <v>руб/тыс.кВтч. (руб/Гкал)</v>
          </cell>
          <cell r="E111">
            <v>534.92898326536351</v>
          </cell>
          <cell r="F111">
            <v>576.99</v>
          </cell>
        </row>
        <row r="112">
          <cell r="A112" t="str">
            <v>9.1.</v>
          </cell>
          <cell r="B112" t="str">
            <v>Электростанции ЭСО - всего</v>
          </cell>
          <cell r="C112" t="str">
            <v>Электростанции ЭСО</v>
          </cell>
          <cell r="E112">
            <v>0</v>
          </cell>
          <cell r="F112">
            <v>0</v>
          </cell>
          <cell r="H112">
            <v>0</v>
          </cell>
          <cell r="J112">
            <v>0</v>
          </cell>
        </row>
        <row r="113">
          <cell r="B113" t="str">
            <v>в т.ч. по источникам</v>
          </cell>
        </row>
        <row r="114">
          <cell r="C114" t="str">
            <v/>
          </cell>
          <cell r="E114">
            <v>0</v>
          </cell>
          <cell r="F114">
            <v>0</v>
          </cell>
          <cell r="H114">
            <v>0</v>
          </cell>
          <cell r="J114">
            <v>0</v>
          </cell>
        </row>
        <row r="116">
          <cell r="A116" t="str">
            <v>9.2.</v>
          </cell>
          <cell r="B116" t="str">
            <v>С оптового рынка</v>
          </cell>
          <cell r="C116" t="str">
            <v>ФОРЭМ</v>
          </cell>
          <cell r="E116">
            <v>452.79</v>
          </cell>
          <cell r="F116">
            <v>452.79</v>
          </cell>
        </row>
        <row r="117">
          <cell r="A117" t="str">
            <v>9.3.</v>
          </cell>
          <cell r="B117" t="str">
            <v>Блокстанция</v>
          </cell>
          <cell r="E117">
            <v>0</v>
          </cell>
          <cell r="F117">
            <v>0</v>
          </cell>
        </row>
        <row r="118">
          <cell r="A118" t="str">
            <v>9.4.</v>
          </cell>
          <cell r="B118" t="str">
            <v>ПЭ - всего</v>
          </cell>
          <cell r="C118" t="str">
            <v>Сторонние поставщики</v>
          </cell>
          <cell r="E118">
            <v>0</v>
          </cell>
          <cell r="F118">
            <v>0</v>
          </cell>
        </row>
        <row r="119">
          <cell r="B119" t="str">
            <v>в т.ч. по поставщикам</v>
          </cell>
        </row>
        <row r="120">
          <cell r="C120" t="str">
            <v/>
          </cell>
          <cell r="E120">
            <v>0</v>
          </cell>
          <cell r="F120">
            <v>0</v>
          </cell>
        </row>
        <row r="124">
          <cell r="E124">
            <v>452.79</v>
          </cell>
          <cell r="F124">
            <v>576.99</v>
          </cell>
        </row>
        <row r="127">
          <cell r="E127">
            <v>0</v>
          </cell>
          <cell r="F127">
            <v>0</v>
          </cell>
        </row>
        <row r="129">
          <cell r="E129">
            <v>452.79</v>
          </cell>
          <cell r="F129">
            <v>576.99</v>
          </cell>
        </row>
        <row r="130">
          <cell r="E130">
            <v>0</v>
          </cell>
          <cell r="F130">
            <v>0</v>
          </cell>
        </row>
        <row r="131">
          <cell r="E131">
            <v>0</v>
          </cell>
          <cell r="F131">
            <v>0</v>
          </cell>
        </row>
        <row r="133">
          <cell r="E133">
            <v>0</v>
          </cell>
          <cell r="F133">
            <v>0</v>
          </cell>
        </row>
        <row r="137">
          <cell r="A137" t="str">
            <v>11.</v>
          </cell>
          <cell r="B137" t="str">
            <v>Ставка за энергию</v>
          </cell>
          <cell r="C137" t="str">
            <v>Всего</v>
          </cell>
          <cell r="D137" t="str">
            <v>руб/тыс.кВтч. (руб/Гкал)</v>
          </cell>
        </row>
        <row r="138">
          <cell r="A138" t="str">
            <v>11.1.</v>
          </cell>
          <cell r="B138" t="str">
            <v>Электростанции ЭСО - всего</v>
          </cell>
          <cell r="C138" t="str">
            <v>Электростанции ЭСО</v>
          </cell>
        </row>
        <row r="139">
          <cell r="B139" t="str">
            <v>в т.ч. по источникам</v>
          </cell>
        </row>
        <row r="140">
          <cell r="C140" t="str">
            <v/>
          </cell>
        </row>
        <row r="142">
          <cell r="A142" t="str">
            <v>11.2.</v>
          </cell>
          <cell r="B142" t="str">
            <v>С оптового рынка</v>
          </cell>
          <cell r="C142" t="str">
            <v>ФОРЭМ</v>
          </cell>
        </row>
        <row r="143">
          <cell r="A143" t="str">
            <v>11.3.</v>
          </cell>
          <cell r="B143" t="str">
            <v>Блокстанции</v>
          </cell>
        </row>
        <row r="144">
          <cell r="A144" t="str">
            <v>11.4.</v>
          </cell>
          <cell r="B144" t="str">
            <v>ПЭ - всего</v>
          </cell>
          <cell r="C144" t="str">
            <v>Сторонние поставщики</v>
          </cell>
        </row>
        <row r="145">
          <cell r="B145" t="str">
            <v>в т.ч. по поставщикам</v>
          </cell>
        </row>
        <row r="146">
          <cell r="C146" t="str">
            <v/>
          </cell>
          <cell r="E146">
            <v>0</v>
          </cell>
          <cell r="F146">
            <v>0</v>
          </cell>
        </row>
      </sheetData>
      <sheetData sheetId="39" refreshError="1">
        <row r="6">
          <cell r="D6">
            <v>3011.66</v>
          </cell>
          <cell r="E6">
            <v>3032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3011.66</v>
          </cell>
          <cell r="E10">
            <v>3032</v>
          </cell>
        </row>
        <row r="11">
          <cell r="D11">
            <v>453.9</v>
          </cell>
          <cell r="E11">
            <v>418.8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453.9</v>
          </cell>
          <cell r="E15">
            <v>418.8</v>
          </cell>
        </row>
        <row r="16">
          <cell r="D16">
            <v>0</v>
          </cell>
          <cell r="E16">
            <v>0</v>
          </cell>
        </row>
        <row r="17">
          <cell r="D17" t="e">
            <v>#VALUE!</v>
          </cell>
          <cell r="E17" t="e">
            <v>#VALUE!</v>
          </cell>
        </row>
        <row r="18">
          <cell r="D18" t="e">
            <v>#VALUE!</v>
          </cell>
          <cell r="E18" t="e">
            <v>#VALUE!</v>
          </cell>
        </row>
        <row r="19">
          <cell r="D19" t="e">
            <v>#VALUE!</v>
          </cell>
          <cell r="E19" t="e">
            <v>#VALUE!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  <row r="23">
          <cell r="D23" t="e">
            <v>#VALUE!</v>
          </cell>
          <cell r="E23" t="e">
            <v>#VALUE!</v>
          </cell>
        </row>
        <row r="24">
          <cell r="D24" t="e">
            <v>#VALUE!</v>
          </cell>
          <cell r="E24" t="e">
            <v>#VALUE!</v>
          </cell>
        </row>
        <row r="25">
          <cell r="D25" t="e">
            <v>#VALUE!</v>
          </cell>
          <cell r="E25" t="e">
            <v>#VALUE!</v>
          </cell>
        </row>
        <row r="26">
          <cell r="D26" t="e">
            <v>#DIV/0!</v>
          </cell>
          <cell r="E26" t="e">
            <v>#DIV/0!</v>
          </cell>
        </row>
        <row r="27">
          <cell r="D27" t="e">
            <v>#DIV/0!</v>
          </cell>
          <cell r="E27" t="e">
            <v>#DIV/0!</v>
          </cell>
        </row>
        <row r="28">
          <cell r="D28" t="e">
            <v>#DIV/0!</v>
          </cell>
          <cell r="E28" t="e">
            <v>#DIV/0!</v>
          </cell>
        </row>
      </sheetData>
      <sheetData sheetId="40" refreshError="1">
        <row r="6">
          <cell r="D6">
            <v>605027</v>
          </cell>
          <cell r="E6">
            <v>866146.00000000012</v>
          </cell>
        </row>
        <row r="7">
          <cell r="B7" t="str">
            <v>ВН</v>
          </cell>
          <cell r="D7">
            <v>183481.86249844282</v>
          </cell>
          <cell r="E7">
            <v>255165.67394264136</v>
          </cell>
        </row>
        <row r="8">
          <cell r="B8" t="str">
            <v>СН</v>
          </cell>
          <cell r="D8">
            <v>322806.48713773012</v>
          </cell>
          <cell r="E8">
            <v>468881.78557414841</v>
          </cell>
        </row>
        <row r="10">
          <cell r="B10" t="str">
            <v>СН1</v>
          </cell>
          <cell r="D10">
            <v>56592.577969076228</v>
          </cell>
          <cell r="E10">
            <v>81862.023396032717</v>
          </cell>
        </row>
        <row r="11">
          <cell r="B11" t="str">
            <v>СН2</v>
          </cell>
          <cell r="D11">
            <v>266213.90916865389</v>
          </cell>
          <cell r="E11">
            <v>387019.76217811572</v>
          </cell>
        </row>
        <row r="12">
          <cell r="B12" t="str">
            <v>НН</v>
          </cell>
          <cell r="D12">
            <v>98738.65036382711</v>
          </cell>
          <cell r="E12">
            <v>142098.54048321032</v>
          </cell>
        </row>
        <row r="13">
          <cell r="D13">
            <v>41989</v>
          </cell>
          <cell r="E13">
            <v>72018</v>
          </cell>
        </row>
        <row r="14">
          <cell r="B14" t="str">
            <v>ВН</v>
          </cell>
          <cell r="D14">
            <v>14963</v>
          </cell>
          <cell r="E14">
            <v>20669</v>
          </cell>
        </row>
        <row r="15">
          <cell r="B15" t="str">
            <v>СН</v>
          </cell>
          <cell r="D15">
            <v>20825</v>
          </cell>
          <cell r="E15">
            <v>39394</v>
          </cell>
        </row>
        <row r="17">
          <cell r="B17" t="str">
            <v>СН1</v>
          </cell>
          <cell r="D17">
            <v>3650</v>
          </cell>
          <cell r="E17">
            <v>6842</v>
          </cell>
        </row>
        <row r="18">
          <cell r="B18" t="str">
            <v>СН2</v>
          </cell>
          <cell r="D18">
            <v>17175</v>
          </cell>
          <cell r="E18">
            <v>32552</v>
          </cell>
        </row>
        <row r="19">
          <cell r="B19" t="str">
            <v>НН</v>
          </cell>
          <cell r="D19">
            <v>6201</v>
          </cell>
          <cell r="E19">
            <v>11955</v>
          </cell>
        </row>
        <row r="20">
          <cell r="D20">
            <v>6.9400208585732539</v>
          </cell>
          <cell r="E20">
            <v>8.3147644854331713</v>
          </cell>
        </row>
        <row r="21">
          <cell r="D21">
            <v>647016</v>
          </cell>
          <cell r="E21">
            <v>938164.00000000012</v>
          </cell>
        </row>
        <row r="22">
          <cell r="B22" t="str">
            <v>ВН</v>
          </cell>
          <cell r="D22">
            <v>198444.86249844282</v>
          </cell>
          <cell r="E22">
            <v>275834.67394264136</v>
          </cell>
        </row>
        <row r="23">
          <cell r="B23" t="str">
            <v>СН</v>
          </cell>
          <cell r="D23">
            <v>343631.48713773012</v>
          </cell>
          <cell r="E23">
            <v>508275.78557414841</v>
          </cell>
        </row>
        <row r="25">
          <cell r="B25" t="str">
            <v>СН1</v>
          </cell>
          <cell r="D25">
            <v>60242.577969076228</v>
          </cell>
          <cell r="E25">
            <v>88704.023396032717</v>
          </cell>
        </row>
        <row r="26">
          <cell r="B26" t="str">
            <v>СН2</v>
          </cell>
          <cell r="D26">
            <v>283388.90916865389</v>
          </cell>
          <cell r="E26">
            <v>419571.76217811572</v>
          </cell>
        </row>
        <row r="27">
          <cell r="B27" t="str">
            <v>НН</v>
          </cell>
          <cell r="D27">
            <v>104939.65036382711</v>
          </cell>
          <cell r="E27">
            <v>154053.54048321032</v>
          </cell>
        </row>
        <row r="28">
          <cell r="D28">
            <v>453.79999999999995</v>
          </cell>
          <cell r="E28">
            <v>418.79999999999995</v>
          </cell>
        </row>
        <row r="29">
          <cell r="D29">
            <v>320.39999999999998</v>
          </cell>
          <cell r="E29">
            <v>124.7</v>
          </cell>
        </row>
        <row r="30">
          <cell r="D30">
            <v>319.3</v>
          </cell>
          <cell r="E30">
            <v>64.900000000000006</v>
          </cell>
        </row>
        <row r="31">
          <cell r="D31">
            <v>78.400000000000006</v>
          </cell>
          <cell r="E31">
            <v>46.8</v>
          </cell>
        </row>
        <row r="33">
          <cell r="B33" t="str">
            <v>ВН</v>
          </cell>
          <cell r="D33">
            <v>34344.905243759575</v>
          </cell>
          <cell r="E33">
            <v>64749.92346071393</v>
          </cell>
        </row>
        <row r="34">
          <cell r="B34" t="str">
            <v>СН</v>
          </cell>
        </row>
        <row r="36">
          <cell r="B36" t="str">
            <v>СН1</v>
          </cell>
          <cell r="D36">
            <v>86380.621445591314</v>
          </cell>
          <cell r="E36">
            <v>118478.27004886983</v>
          </cell>
        </row>
        <row r="37">
          <cell r="B37" t="str">
            <v>СН2</v>
          </cell>
          <cell r="D37">
            <v>124901.18939764249</v>
          </cell>
          <cell r="E37">
            <v>553097.11219107802</v>
          </cell>
        </row>
        <row r="38">
          <cell r="B38" t="str">
            <v>НН</v>
          </cell>
          <cell r="D38">
            <v>244562.45134707374</v>
          </cell>
          <cell r="E38">
            <v>898318.85820419749</v>
          </cell>
        </row>
        <row r="40">
          <cell r="B40" t="str">
            <v>ВН</v>
          </cell>
          <cell r="D40">
            <v>62.109744429709934</v>
          </cell>
          <cell r="E40">
            <v>107.35681863680217</v>
          </cell>
        </row>
        <row r="41">
          <cell r="B41" t="str">
            <v>СН</v>
          </cell>
        </row>
        <row r="43">
          <cell r="B43" t="str">
            <v>СН1</v>
          </cell>
          <cell r="D43">
            <v>160.59495818053597</v>
          </cell>
          <cell r="E43">
            <v>196.27852661157306</v>
          </cell>
        </row>
        <row r="44">
          <cell r="B44" t="str">
            <v>СН2</v>
          </cell>
          <cell r="D44">
            <v>225.84872603409323</v>
          </cell>
          <cell r="E44">
            <v>916.06445606147736</v>
          </cell>
        </row>
        <row r="45">
          <cell r="B45" t="str">
            <v>НН</v>
          </cell>
          <cell r="D45">
            <v>442.46991197562886</v>
          </cell>
          <cell r="E45">
            <v>1487.5740719687365</v>
          </cell>
        </row>
      </sheetData>
      <sheetData sheetId="41" refreshError="1">
        <row r="8">
          <cell r="D8">
            <v>0</v>
          </cell>
          <cell r="E8">
            <v>0</v>
          </cell>
          <cell r="G8">
            <v>0</v>
          </cell>
          <cell r="H8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</row>
        <row r="16">
          <cell r="D16">
            <v>0</v>
          </cell>
          <cell r="E16">
            <v>0</v>
          </cell>
          <cell r="G16">
            <v>0</v>
          </cell>
          <cell r="H16">
            <v>0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</row>
        <row r="19"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2">
          <cell r="D22">
            <v>0</v>
          </cell>
          <cell r="E22">
            <v>0</v>
          </cell>
          <cell r="G22">
            <v>0</v>
          </cell>
          <cell r="H22">
            <v>0</v>
          </cell>
        </row>
        <row r="23">
          <cell r="D23">
            <v>0</v>
          </cell>
          <cell r="E23">
            <v>0</v>
          </cell>
          <cell r="G23">
            <v>0</v>
          </cell>
          <cell r="H23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</row>
        <row r="27">
          <cell r="D27">
            <v>0</v>
          </cell>
          <cell r="E27">
            <v>0</v>
          </cell>
          <cell r="G27">
            <v>0</v>
          </cell>
          <cell r="H27">
            <v>0</v>
          </cell>
        </row>
        <row r="28">
          <cell r="D28">
            <v>0</v>
          </cell>
          <cell r="E28">
            <v>0</v>
          </cell>
          <cell r="G28">
            <v>0</v>
          </cell>
          <cell r="H28">
            <v>0</v>
          </cell>
        </row>
        <row r="29">
          <cell r="D29">
            <v>0</v>
          </cell>
          <cell r="E29">
            <v>0</v>
          </cell>
          <cell r="G29">
            <v>0</v>
          </cell>
          <cell r="H29">
            <v>0</v>
          </cell>
        </row>
      </sheetData>
      <sheetData sheetId="42" refreshError="1">
        <row r="6">
          <cell r="D6">
            <v>534.92898326536351</v>
          </cell>
          <cell r="E6">
            <v>576.99</v>
          </cell>
        </row>
        <row r="7">
          <cell r="D7">
            <v>0</v>
          </cell>
          <cell r="E7">
            <v>0</v>
          </cell>
        </row>
        <row r="8">
          <cell r="D8">
            <v>452.79</v>
          </cell>
          <cell r="E8">
            <v>576.99</v>
          </cell>
        </row>
        <row r="10">
          <cell r="D10">
            <v>3285.11</v>
          </cell>
          <cell r="E10">
            <v>2700.18</v>
          </cell>
        </row>
        <row r="11">
          <cell r="D11">
            <v>3008.62</v>
          </cell>
          <cell r="E11">
            <v>1314.18</v>
          </cell>
        </row>
        <row r="13">
          <cell r="D13">
            <v>681.1</v>
          </cell>
          <cell r="E13">
            <v>581.29999999999995</v>
          </cell>
        </row>
        <row r="14">
          <cell r="D14">
            <v>2327.52</v>
          </cell>
          <cell r="E14">
            <v>732.88000000000011</v>
          </cell>
        </row>
        <row r="15">
          <cell r="D15">
            <v>552.35</v>
          </cell>
          <cell r="E15">
            <v>488.54</v>
          </cell>
        </row>
        <row r="17">
          <cell r="D17">
            <v>5.13</v>
          </cell>
          <cell r="E17">
            <v>3.74</v>
          </cell>
        </row>
        <row r="20">
          <cell r="D20">
            <v>7.23</v>
          </cell>
          <cell r="E20">
            <v>5.72</v>
          </cell>
        </row>
        <row r="21">
          <cell r="D21">
            <v>6.91</v>
          </cell>
          <cell r="E21">
            <v>5.34</v>
          </cell>
        </row>
        <row r="22">
          <cell r="D22">
            <v>4.3</v>
          </cell>
          <cell r="E22">
            <v>21.6</v>
          </cell>
        </row>
        <row r="24">
          <cell r="D24">
            <v>885.86</v>
          </cell>
          <cell r="E24">
            <v>2128.56</v>
          </cell>
        </row>
        <row r="25">
          <cell r="D25">
            <v>1605.8</v>
          </cell>
          <cell r="E25">
            <v>564.30000000000007</v>
          </cell>
        </row>
        <row r="27">
          <cell r="D27">
            <v>7.1</v>
          </cell>
          <cell r="E27">
            <v>433.16</v>
          </cell>
        </row>
        <row r="28">
          <cell r="D28">
            <v>1598.7</v>
          </cell>
          <cell r="E28">
            <v>131.14000000000001</v>
          </cell>
        </row>
        <row r="29">
          <cell r="D29">
            <v>520</v>
          </cell>
          <cell r="E29">
            <v>339.14</v>
          </cell>
        </row>
        <row r="31">
          <cell r="D31">
            <v>90149.51832862325</v>
          </cell>
          <cell r="E31">
            <v>58268.334496679992</v>
          </cell>
        </row>
        <row r="34">
          <cell r="D34">
            <v>43074.270451027711</v>
          </cell>
          <cell r="E34">
            <v>22350.396420196103</v>
          </cell>
        </row>
        <row r="35">
          <cell r="D35">
            <v>176416.63438108179</v>
          </cell>
          <cell r="E35">
            <v>34651.672103459372</v>
          </cell>
        </row>
        <row r="36">
          <cell r="D36">
            <v>58952.013934605515</v>
          </cell>
          <cell r="E36">
            <v>88988.052019752431</v>
          </cell>
        </row>
        <row r="38">
          <cell r="D38">
            <v>28.925747698443285</v>
          </cell>
          <cell r="E38">
            <v>22.417853729482648</v>
          </cell>
        </row>
        <row r="41">
          <cell r="D41">
            <v>68.170973150006233</v>
          </cell>
          <cell r="E41">
            <v>40.78170076016491</v>
          </cell>
        </row>
        <row r="42">
          <cell r="D42">
            <v>81.42224649681684</v>
          </cell>
          <cell r="E42">
            <v>49.948773198924307</v>
          </cell>
        </row>
        <row r="43">
          <cell r="D43">
            <v>111.52503033652549</v>
          </cell>
          <cell r="E43">
            <v>232.33546565796323</v>
          </cell>
        </row>
      </sheetData>
      <sheetData sheetId="43" refreshError="1">
        <row r="8">
          <cell r="D8">
            <v>0</v>
          </cell>
          <cell r="E8" t="e">
            <v>#DIV/0!</v>
          </cell>
          <cell r="F8">
            <v>0</v>
          </cell>
          <cell r="G8">
            <v>0</v>
          </cell>
        </row>
        <row r="9">
          <cell r="D9">
            <v>0</v>
          </cell>
          <cell r="E9" t="e">
            <v>#DIV/0!</v>
          </cell>
          <cell r="F9">
            <v>0</v>
          </cell>
          <cell r="G9">
            <v>0</v>
          </cell>
        </row>
        <row r="10">
          <cell r="D10">
            <v>0</v>
          </cell>
          <cell r="E10" t="e">
            <v>#DIV/0!</v>
          </cell>
          <cell r="F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D17">
            <v>0</v>
          </cell>
          <cell r="E17" t="e">
            <v>#DIV/0!</v>
          </cell>
          <cell r="F17">
            <v>0</v>
          </cell>
          <cell r="G17">
            <v>0</v>
          </cell>
        </row>
        <row r="18">
          <cell r="D18">
            <v>0</v>
          </cell>
          <cell r="E18" t="e">
            <v>#DIV/0!</v>
          </cell>
          <cell r="F18">
            <v>0</v>
          </cell>
          <cell r="G18">
            <v>0</v>
          </cell>
        </row>
        <row r="19">
          <cell r="D19">
            <v>0</v>
          </cell>
          <cell r="E19" t="e">
            <v>#DIV/0!</v>
          </cell>
          <cell r="F19">
            <v>0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0</v>
          </cell>
          <cell r="E21" t="e">
            <v>#DIV/0!</v>
          </cell>
          <cell r="F21">
            <v>0</v>
          </cell>
          <cell r="G21">
            <v>0</v>
          </cell>
        </row>
        <row r="22">
          <cell r="D22">
            <v>0</v>
          </cell>
          <cell r="E22" t="e">
            <v>#DIV/0!</v>
          </cell>
          <cell r="F22">
            <v>0</v>
          </cell>
          <cell r="G22">
            <v>0</v>
          </cell>
        </row>
      </sheetData>
      <sheetData sheetId="44" refreshError="1">
        <row r="6">
          <cell r="D6">
            <v>3011.66</v>
          </cell>
          <cell r="E6">
            <v>3032</v>
          </cell>
        </row>
        <row r="11">
          <cell r="D11">
            <v>160989.48450000002</v>
          </cell>
          <cell r="E11">
            <v>246322.8</v>
          </cell>
        </row>
        <row r="12">
          <cell r="D12">
            <v>0</v>
          </cell>
          <cell r="E12">
            <v>0</v>
          </cell>
        </row>
        <row r="13">
          <cell r="D13">
            <v>277.98954729285509</v>
          </cell>
          <cell r="E13">
            <v>458.93364116094989</v>
          </cell>
        </row>
        <row r="14">
          <cell r="D14" t="e">
            <v>#DIV/0!</v>
          </cell>
          <cell r="E14" t="e">
            <v>#DIV/0!</v>
          </cell>
        </row>
        <row r="15">
          <cell r="D15">
            <v>277.98954729285509</v>
          </cell>
          <cell r="E15">
            <v>458.93364116094989</v>
          </cell>
        </row>
        <row r="16">
          <cell r="D16" t="e">
            <v>#DIV/0!</v>
          </cell>
          <cell r="E16" t="e">
            <v>#DIV/0!</v>
          </cell>
        </row>
      </sheetData>
      <sheetData sheetId="45" refreshError="1">
        <row r="6"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D7" t="str">
            <v>Всего</v>
          </cell>
          <cell r="E7" t="str">
            <v>с шин</v>
          </cell>
          <cell r="F7" t="str">
            <v>ВН</v>
          </cell>
          <cell r="G7" t="str">
            <v>СН1</v>
          </cell>
          <cell r="H7" t="str">
            <v>СН2</v>
          </cell>
          <cell r="I7" t="str">
            <v>НН</v>
          </cell>
          <cell r="K7" t="str">
            <v>Всего</v>
          </cell>
          <cell r="L7" t="str">
            <v>с шин</v>
          </cell>
          <cell r="M7" t="str">
            <v>ВН</v>
          </cell>
          <cell r="N7" t="str">
            <v>СН1</v>
          </cell>
          <cell r="O7" t="str">
            <v>СН2</v>
          </cell>
          <cell r="P7" t="str">
            <v>НН</v>
          </cell>
          <cell r="R7" t="str">
            <v>Всего</v>
          </cell>
          <cell r="S7" t="str">
            <v>с шин</v>
          </cell>
          <cell r="T7" t="str">
            <v>ВН</v>
          </cell>
          <cell r="U7" t="str">
            <v>СН1</v>
          </cell>
          <cell r="V7" t="str">
            <v>СН2</v>
          </cell>
          <cell r="W7" t="str">
            <v>НН</v>
          </cell>
          <cell r="X7" t="str">
            <v>Всего</v>
          </cell>
          <cell r="Y7" t="str">
            <v>с шин</v>
          </cell>
          <cell r="Z7" t="str">
            <v>ВН</v>
          </cell>
          <cell r="AA7" t="str">
            <v>СН1</v>
          </cell>
          <cell r="AB7" t="str">
            <v>СН2</v>
          </cell>
          <cell r="AC7" t="str">
            <v>НН</v>
          </cell>
          <cell r="AD7" t="str">
            <v>Всего</v>
          </cell>
          <cell r="AE7" t="str">
            <v>с шин</v>
          </cell>
          <cell r="AF7" t="str">
            <v>ВН</v>
          </cell>
          <cell r="AG7" t="str">
            <v>СН1</v>
          </cell>
          <cell r="AH7" t="str">
            <v>СН2</v>
          </cell>
          <cell r="AI7" t="str">
            <v>НН</v>
          </cell>
          <cell r="AJ7" t="str">
            <v>Всего</v>
          </cell>
          <cell r="AK7" t="str">
            <v>с шин</v>
          </cell>
          <cell r="AL7" t="str">
            <v>ВН</v>
          </cell>
          <cell r="AM7" t="str">
            <v>СН1</v>
          </cell>
          <cell r="AN7" t="str">
            <v>СН2</v>
          </cell>
          <cell r="AO7" t="str">
            <v>НН</v>
          </cell>
          <cell r="AP7" t="str">
            <v>Всего</v>
          </cell>
          <cell r="AQ7" t="str">
            <v>с шин</v>
          </cell>
          <cell r="AR7" t="str">
            <v>ВН</v>
          </cell>
          <cell r="AS7" t="str">
            <v>СН1</v>
          </cell>
          <cell r="AT7" t="str">
            <v>СН2</v>
          </cell>
          <cell r="AU7" t="str">
            <v>НН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R9">
            <v>339.94</v>
          </cell>
          <cell r="S9">
            <v>0</v>
          </cell>
          <cell r="T9">
            <v>0</v>
          </cell>
          <cell r="U9">
            <v>0</v>
          </cell>
          <cell r="V9">
            <v>0.8</v>
          </cell>
          <cell r="W9">
            <v>339.14</v>
          </cell>
          <cell r="X9">
            <v>2692.06</v>
          </cell>
          <cell r="Y9">
            <v>0</v>
          </cell>
          <cell r="Z9">
            <v>2128.56</v>
          </cell>
          <cell r="AA9">
            <v>433.16</v>
          </cell>
          <cell r="AB9">
            <v>130.34</v>
          </cell>
          <cell r="AC9">
            <v>0</v>
          </cell>
          <cell r="AD9">
            <v>226.20000000000002</v>
          </cell>
          <cell r="AE9">
            <v>0</v>
          </cell>
          <cell r="AF9">
            <v>125.54</v>
          </cell>
          <cell r="AG9">
            <v>1.73</v>
          </cell>
          <cell r="AH9">
            <v>98.93</v>
          </cell>
          <cell r="AI9">
            <v>0</v>
          </cell>
          <cell r="AJ9">
            <v>3258.2</v>
          </cell>
          <cell r="AK9">
            <v>0</v>
          </cell>
          <cell r="AL9">
            <v>2254.1</v>
          </cell>
          <cell r="AM9">
            <v>434.89000000000004</v>
          </cell>
          <cell r="AN9">
            <v>230.07</v>
          </cell>
          <cell r="AO9">
            <v>339.14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46.9</v>
          </cell>
          <cell r="S10">
            <v>0</v>
          </cell>
          <cell r="T10">
            <v>0</v>
          </cell>
          <cell r="U10">
            <v>0</v>
          </cell>
          <cell r="V10">
            <v>0.1</v>
          </cell>
          <cell r="W10">
            <v>46.8</v>
          </cell>
          <cell r="X10">
            <v>371.90000000000003</v>
          </cell>
          <cell r="Y10">
            <v>0</v>
          </cell>
          <cell r="Z10">
            <v>294.10000000000002</v>
          </cell>
          <cell r="AA10">
            <v>59.8</v>
          </cell>
          <cell r="AB10">
            <v>18</v>
          </cell>
          <cell r="AC10">
            <v>0</v>
          </cell>
          <cell r="AD10">
            <v>31.24</v>
          </cell>
          <cell r="AE10">
            <v>0</v>
          </cell>
          <cell r="AF10">
            <v>17.36</v>
          </cell>
          <cell r="AG10">
            <v>0.2</v>
          </cell>
          <cell r="AH10">
            <v>13.68</v>
          </cell>
          <cell r="AI10">
            <v>0</v>
          </cell>
          <cell r="AJ10">
            <v>450.04</v>
          </cell>
          <cell r="AK10">
            <v>0</v>
          </cell>
          <cell r="AL10">
            <v>311.46000000000004</v>
          </cell>
          <cell r="AM10">
            <v>60</v>
          </cell>
          <cell r="AN10">
            <v>31.78</v>
          </cell>
          <cell r="AO10">
            <v>46.8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 t="e">
            <v>#DIV/0!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  <cell r="I13" t="e">
            <v>#VALUE!</v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S13" t="e">
            <v>#DIV/0!</v>
          </cell>
          <cell r="T13" t="e">
            <v>#DIV/0!</v>
          </cell>
          <cell r="U13" t="e">
            <v>#DIV/0!</v>
          </cell>
          <cell r="V13" t="e">
            <v>#DIV/0!</v>
          </cell>
          <cell r="W13" t="e">
            <v>#DIV/0!</v>
          </cell>
          <cell r="Y13" t="e">
            <v>#DIV/0!</v>
          </cell>
          <cell r="Z13" t="e">
            <v>#DIV/0!</v>
          </cell>
          <cell r="AA13" t="e">
            <v>#DIV/0!</v>
          </cell>
          <cell r="AB13" t="e">
            <v>#DIV/0!</v>
          </cell>
          <cell r="AC13" t="e">
            <v>#DIV/0!</v>
          </cell>
          <cell r="AE13" t="e">
            <v>#DIV/0!</v>
          </cell>
          <cell r="AF13" t="e">
            <v>#DIV/0!</v>
          </cell>
          <cell r="AG13" t="e">
            <v>#DIV/0!</v>
          </cell>
          <cell r="AH13" t="e">
            <v>#DIV/0!</v>
          </cell>
          <cell r="AI13" t="e">
            <v>#DIV/0!</v>
          </cell>
        </row>
        <row r="14"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  <cell r="I14" t="e">
            <v>#VALUE!</v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S14" t="e">
            <v>#DIV/0!</v>
          </cell>
          <cell r="T14" t="e">
            <v>#DIV/0!</v>
          </cell>
          <cell r="U14" t="e">
            <v>#DIV/0!</v>
          </cell>
          <cell r="V14" t="e">
            <v>#DIV/0!</v>
          </cell>
          <cell r="W14" t="e">
            <v>#DIV/0!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e">
            <v>#DIV/0!</v>
          </cell>
          <cell r="AC14" t="e">
            <v>#DIV/0!</v>
          </cell>
          <cell r="AE14" t="e">
            <v>#DIV/0!</v>
          </cell>
          <cell r="AF14" t="e">
            <v>#DIV/0!</v>
          </cell>
          <cell r="AG14" t="e">
            <v>#DIV/0!</v>
          </cell>
          <cell r="AH14" t="e">
            <v>#DIV/0!</v>
          </cell>
          <cell r="AI14" t="e">
            <v>#DIV/0!</v>
          </cell>
        </row>
        <row r="16">
          <cell r="D16">
            <v>0</v>
          </cell>
          <cell r="F16">
            <v>198.04644017631119</v>
          </cell>
          <cell r="G16">
            <v>305.33199518176434</v>
          </cell>
          <cell r="H16">
            <v>1034.2849970704281</v>
          </cell>
          <cell r="I16">
            <v>1788.181305436726</v>
          </cell>
          <cell r="K16">
            <v>0</v>
          </cell>
          <cell r="M16">
            <v>68.27176781002639</v>
          </cell>
          <cell r="N16">
            <v>68.27176781002639</v>
          </cell>
          <cell r="O16">
            <v>68.27176781002639</v>
          </cell>
          <cell r="P16">
            <v>68.27176781002639</v>
          </cell>
          <cell r="R16">
            <v>1786.2037444644577</v>
          </cell>
          <cell r="S16">
            <v>0</v>
          </cell>
          <cell r="T16">
            <v>90.689621539509034</v>
          </cell>
          <cell r="U16">
            <v>109.0534685701913</v>
          </cell>
          <cell r="V16">
            <v>947.86620929556773</v>
          </cell>
          <cell r="W16">
            <v>1788.181305436726</v>
          </cell>
          <cell r="X16">
            <v>255.8223736777789</v>
          </cell>
          <cell r="Z16">
            <v>198.04644017631119</v>
          </cell>
          <cell r="AA16">
            <v>305.33199518176434</v>
          </cell>
          <cell r="AB16">
            <v>1034.8154177411345</v>
          </cell>
          <cell r="AC16">
            <v>300.6072334679896</v>
          </cell>
          <cell r="AD16">
            <v>565.15857449802149</v>
          </cell>
          <cell r="AF16">
            <v>198.13508956034639</v>
          </cell>
          <cell r="AG16">
            <v>273.41638655706271</v>
          </cell>
          <cell r="AH16">
            <v>1036.005054678084</v>
          </cell>
          <cell r="AI16">
            <v>300.6072334679896</v>
          </cell>
          <cell r="AJ16">
            <v>397.73226940526962</v>
          </cell>
          <cell r="AL16">
            <v>198.0513774211858</v>
          </cell>
          <cell r="AM16">
            <v>305.20503433437597</v>
          </cell>
          <cell r="AN16">
            <v>1035.0246210940966</v>
          </cell>
          <cell r="AO16">
            <v>1788.181305436726</v>
          </cell>
          <cell r="AP16">
            <v>0</v>
          </cell>
          <cell r="AR16">
            <v>22.417853729482648</v>
          </cell>
          <cell r="AS16">
            <v>40.78170076016491</v>
          </cell>
          <cell r="AT16">
            <v>49.948773198924307</v>
          </cell>
          <cell r="AU16">
            <v>232.33546565796323</v>
          </cell>
        </row>
        <row r="17">
          <cell r="F17">
            <v>129.77467236628482</v>
          </cell>
          <cell r="G17">
            <v>237.06022737173797</v>
          </cell>
          <cell r="H17">
            <v>966.01322926040166</v>
          </cell>
          <cell r="I17">
            <v>1719.9095376266996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T17">
            <v>22.417853729482648</v>
          </cell>
          <cell r="U17">
            <v>40.78170076016491</v>
          </cell>
          <cell r="V17">
            <v>879.59444148554132</v>
          </cell>
          <cell r="W17">
            <v>1719.9095376266996</v>
          </cell>
          <cell r="Z17">
            <v>129.77467236628482</v>
          </cell>
          <cell r="AA17">
            <v>237.06022737173797</v>
          </cell>
          <cell r="AB17">
            <v>966.54364993110823</v>
          </cell>
          <cell r="AC17">
            <v>232.33546565796323</v>
          </cell>
          <cell r="AF17">
            <v>129.86332175032001</v>
          </cell>
          <cell r="AG17">
            <v>205.14461874703633</v>
          </cell>
          <cell r="AH17">
            <v>967.73328686805758</v>
          </cell>
          <cell r="AI17">
            <v>232.33546565796323</v>
          </cell>
          <cell r="AL17">
            <v>129.7796096111594</v>
          </cell>
          <cell r="AM17">
            <v>236.93326652434959</v>
          </cell>
          <cell r="AN17">
            <v>966.75285328407017</v>
          </cell>
          <cell r="AO17">
            <v>1719.9095376266996</v>
          </cell>
          <cell r="AR17">
            <v>22.417853729482648</v>
          </cell>
          <cell r="AS17">
            <v>40.78170076016491</v>
          </cell>
          <cell r="AT17">
            <v>49.948773198924307</v>
          </cell>
          <cell r="AU17">
            <v>232.33546565796323</v>
          </cell>
        </row>
        <row r="18">
          <cell r="F18">
            <v>107.35681863680217</v>
          </cell>
          <cell r="G18">
            <v>196.27852661157306</v>
          </cell>
          <cell r="H18">
            <v>916.06445606147736</v>
          </cell>
          <cell r="I18">
            <v>1487.5740719687365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T18">
            <v>0</v>
          </cell>
          <cell r="U18">
            <v>0</v>
          </cell>
          <cell r="V18">
            <v>829.64566828661702</v>
          </cell>
          <cell r="W18">
            <v>1487.5740719687365</v>
          </cell>
          <cell r="Z18">
            <v>107.35681863680216</v>
          </cell>
          <cell r="AA18">
            <v>196.27852661157306</v>
          </cell>
          <cell r="AB18">
            <v>916.59487673218393</v>
          </cell>
          <cell r="AC18">
            <v>0</v>
          </cell>
          <cell r="AF18">
            <v>107.44546802083737</v>
          </cell>
          <cell r="AG18">
            <v>164.36291798687142</v>
          </cell>
          <cell r="AH18">
            <v>917.78451366913328</v>
          </cell>
          <cell r="AI18">
            <v>0</v>
          </cell>
          <cell r="AL18">
            <v>107.36175588167674</v>
          </cell>
          <cell r="AM18">
            <v>196.15156576418468</v>
          </cell>
          <cell r="AN18">
            <v>916.80408008514587</v>
          </cell>
          <cell r="AO18">
            <v>1487.5740719687365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F19">
            <v>776.9990815285671</v>
          </cell>
          <cell r="G19">
            <v>1421.739240586438</v>
          </cell>
          <cell r="H19">
            <v>6637.1653462929362</v>
          </cell>
          <cell r="I19">
            <v>10779.826298450369</v>
          </cell>
          <cell r="M19">
            <v>776.9990815285671</v>
          </cell>
          <cell r="N19">
            <v>1421.739240586438</v>
          </cell>
          <cell r="O19">
            <v>6637.1653462929362</v>
          </cell>
          <cell r="P19">
            <v>10779.826298450369</v>
          </cell>
          <cell r="T19">
            <v>776.9990815285671</v>
          </cell>
          <cell r="U19">
            <v>1421.739240586438</v>
          </cell>
          <cell r="V19">
            <v>6637.1653462929362</v>
          </cell>
          <cell r="W19">
            <v>10779.826298450369</v>
          </cell>
          <cell r="Z19">
            <v>776.9990815285671</v>
          </cell>
          <cell r="AA19">
            <v>1421.739240586438</v>
          </cell>
          <cell r="AB19">
            <v>6637.1653462929362</v>
          </cell>
          <cell r="AC19">
            <v>10779.826298450369</v>
          </cell>
          <cell r="AF19">
            <v>776.9990815285671</v>
          </cell>
          <cell r="AG19">
            <v>1421.739240586438</v>
          </cell>
          <cell r="AH19">
            <v>6637.1653462929362</v>
          </cell>
          <cell r="AI19">
            <v>10779.826298450369</v>
          </cell>
          <cell r="AL19">
            <v>776.9990815285671</v>
          </cell>
          <cell r="AM19">
            <v>1421.739240586438</v>
          </cell>
          <cell r="AN19">
            <v>6637.1653462929362</v>
          </cell>
          <cell r="AO19">
            <v>10779.826298450369</v>
          </cell>
          <cell r="AR19">
            <v>776.9990815285671</v>
          </cell>
          <cell r="AS19">
            <v>1421.739240586438</v>
          </cell>
          <cell r="AT19">
            <v>6637.1653462929362</v>
          </cell>
          <cell r="AU19">
            <v>10779.826298450369</v>
          </cell>
        </row>
        <row r="20">
          <cell r="F20">
            <v>22.417853729482648</v>
          </cell>
          <cell r="G20">
            <v>40.78170076016491</v>
          </cell>
          <cell r="H20">
            <v>49.948773198924307</v>
          </cell>
          <cell r="I20">
            <v>232.33546565796323</v>
          </cell>
          <cell r="M20">
            <v>22.417853729482648</v>
          </cell>
          <cell r="N20">
            <v>40.78170076016491</v>
          </cell>
          <cell r="O20">
            <v>49.948773198924307</v>
          </cell>
          <cell r="P20">
            <v>232.33546565796323</v>
          </cell>
          <cell r="T20">
            <v>22.417853729482648</v>
          </cell>
          <cell r="U20">
            <v>40.78170076016491</v>
          </cell>
          <cell r="V20">
            <v>49.948773198924307</v>
          </cell>
          <cell r="W20">
            <v>232.33546565796323</v>
          </cell>
          <cell r="Z20">
            <v>22.417853729482648</v>
          </cell>
          <cell r="AA20">
            <v>40.78170076016491</v>
          </cell>
          <cell r="AB20">
            <v>49.948773198924307</v>
          </cell>
          <cell r="AC20">
            <v>232.33546565796323</v>
          </cell>
          <cell r="AF20">
            <v>22.417853729482648</v>
          </cell>
          <cell r="AG20">
            <v>40.78170076016491</v>
          </cell>
          <cell r="AH20">
            <v>49.948773198924307</v>
          </cell>
          <cell r="AI20">
            <v>232.33546565796323</v>
          </cell>
          <cell r="AL20">
            <v>22.417853729482648</v>
          </cell>
          <cell r="AM20">
            <v>40.78170076016491</v>
          </cell>
          <cell r="AN20">
            <v>49.948773198924307</v>
          </cell>
          <cell r="AO20">
            <v>232.33546565796323</v>
          </cell>
          <cell r="AR20">
            <v>22.417853729482648</v>
          </cell>
          <cell r="AS20">
            <v>40.78170076016491</v>
          </cell>
          <cell r="AT20">
            <v>49.948773198924307</v>
          </cell>
          <cell r="AU20">
            <v>232.33546565796323</v>
          </cell>
        </row>
        <row r="22">
          <cell r="F22">
            <v>68.27176781002639</v>
          </cell>
          <cell r="G22">
            <v>68.27176781002639</v>
          </cell>
          <cell r="H22">
            <v>68.27176781002639</v>
          </cell>
          <cell r="I22">
            <v>68.27176781002639</v>
          </cell>
          <cell r="M22">
            <v>68.27176781002639</v>
          </cell>
          <cell r="N22">
            <v>68.27176781002639</v>
          </cell>
          <cell r="O22">
            <v>68.27176781002639</v>
          </cell>
          <cell r="P22">
            <v>68.27176781002639</v>
          </cell>
          <cell r="T22">
            <v>68.27176781002639</v>
          </cell>
          <cell r="U22">
            <v>68.27176781002639</v>
          </cell>
          <cell r="V22">
            <v>68.27176781002639</v>
          </cell>
          <cell r="W22">
            <v>68.27176781002639</v>
          </cell>
          <cell r="Z22">
            <v>68.27176781002639</v>
          </cell>
          <cell r="AA22">
            <v>68.27176781002639</v>
          </cell>
          <cell r="AB22">
            <v>68.27176781002639</v>
          </cell>
          <cell r="AC22">
            <v>68.27176781002639</v>
          </cell>
          <cell r="AF22">
            <v>68.27176781002639</v>
          </cell>
          <cell r="AG22">
            <v>68.27176781002639</v>
          </cell>
          <cell r="AH22">
            <v>68.27176781002639</v>
          </cell>
          <cell r="AI22">
            <v>68.27176781002639</v>
          </cell>
          <cell r="AL22">
            <v>68.27176781002639</v>
          </cell>
          <cell r="AM22">
            <v>68.27176781002639</v>
          </cell>
          <cell r="AN22">
            <v>68.27176781002639</v>
          </cell>
          <cell r="AO22">
            <v>68.27176781002639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1786.2037444644577</v>
          </cell>
          <cell r="S24">
            <v>0</v>
          </cell>
          <cell r="T24">
            <v>0</v>
          </cell>
          <cell r="U24">
            <v>0</v>
          </cell>
          <cell r="V24">
            <v>947.86620929556773</v>
          </cell>
          <cell r="W24">
            <v>1788.181305436726</v>
          </cell>
          <cell r="X24">
            <v>255.8223736777789</v>
          </cell>
          <cell r="Y24">
            <v>0</v>
          </cell>
          <cell r="Z24">
            <v>198.04644017631119</v>
          </cell>
          <cell r="AA24">
            <v>305.33199518176434</v>
          </cell>
          <cell r="AB24">
            <v>1034.8154177411345</v>
          </cell>
          <cell r="AC24">
            <v>0</v>
          </cell>
          <cell r="AD24">
            <v>565.15857449802149</v>
          </cell>
          <cell r="AE24">
            <v>0</v>
          </cell>
          <cell r="AF24">
            <v>198.13508956034639</v>
          </cell>
          <cell r="AG24">
            <v>273.41638655706271</v>
          </cell>
          <cell r="AH24">
            <v>1036.005054678084</v>
          </cell>
          <cell r="AI24">
            <v>0</v>
          </cell>
          <cell r="AJ24">
            <v>397.73226940526962</v>
          </cell>
          <cell r="AK24" t="e">
            <v>#DIV/0!</v>
          </cell>
          <cell r="AL24">
            <v>198.0513774211858</v>
          </cell>
          <cell r="AM24">
            <v>305.20503433437597</v>
          </cell>
          <cell r="AN24">
            <v>1035.0246210940966</v>
          </cell>
          <cell r="AO24">
            <v>1788.181305436726</v>
          </cell>
          <cell r="AP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#DIV/0!</v>
          </cell>
          <cell r="W25" t="e">
            <v>#DIV/0!</v>
          </cell>
          <cell r="X25">
            <v>0</v>
          </cell>
          <cell r="Y25">
            <v>0</v>
          </cell>
          <cell r="Z25" t="e">
            <v>#DIV/0!</v>
          </cell>
          <cell r="AA25" t="e">
            <v>#DIV/0!</v>
          </cell>
          <cell r="AB25" t="e">
            <v>#DIV/0!</v>
          </cell>
          <cell r="AC25">
            <v>0</v>
          </cell>
          <cell r="AD25">
            <v>0</v>
          </cell>
          <cell r="AE25">
            <v>0</v>
          </cell>
          <cell r="AF25" t="e">
            <v>#DIV/0!</v>
          </cell>
          <cell r="AG25" t="e">
            <v>#DIV/0!</v>
          </cell>
          <cell r="AH25" t="e">
            <v>#DIV/0!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#DIV/0!</v>
          </cell>
          <cell r="W26" t="e">
            <v>#DIV/0!</v>
          </cell>
          <cell r="X26">
            <v>0</v>
          </cell>
          <cell r="Y26">
            <v>0</v>
          </cell>
          <cell r="Z26" t="e">
            <v>#DIV/0!</v>
          </cell>
          <cell r="AA26" t="e">
            <v>#DIV/0!</v>
          </cell>
          <cell r="AB26" t="e">
            <v>#DIV/0!</v>
          </cell>
          <cell r="AC26">
            <v>0</v>
          </cell>
          <cell r="AD26">
            <v>0</v>
          </cell>
          <cell r="AE26">
            <v>0</v>
          </cell>
          <cell r="AF26" t="e">
            <v>#DIV/0!</v>
          </cell>
          <cell r="AG26" t="e">
            <v>#DIV/0!</v>
          </cell>
          <cell r="AH26" t="e">
            <v>#DIV/0!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607202.10089324776</v>
          </cell>
          <cell r="S28">
            <v>0</v>
          </cell>
          <cell r="T28">
            <v>0</v>
          </cell>
          <cell r="U28">
            <v>0</v>
          </cell>
          <cell r="V28">
            <v>758.29296743645421</v>
          </cell>
          <cell r="W28">
            <v>606443.80792581127</v>
          </cell>
          <cell r="X28">
            <v>688689.17928300146</v>
          </cell>
          <cell r="Y28">
            <v>0</v>
          </cell>
          <cell r="Z28">
            <v>421553.73070168897</v>
          </cell>
          <cell r="AA28">
            <v>132257.60703293304</v>
          </cell>
          <cell r="AB28">
            <v>134877.84154837948</v>
          </cell>
          <cell r="AC28">
            <v>0</v>
          </cell>
          <cell r="AD28">
            <v>127838.86955145246</v>
          </cell>
          <cell r="AE28">
            <v>0</v>
          </cell>
          <cell r="AF28">
            <v>24873.879143405888</v>
          </cell>
          <cell r="AG28">
            <v>473.01034874371845</v>
          </cell>
          <cell r="AH28">
            <v>102491.98005930285</v>
          </cell>
          <cell r="AI28">
            <v>0</v>
          </cell>
          <cell r="AJ28">
            <v>1295891.2801762493</v>
          </cell>
          <cell r="AK28">
            <v>0</v>
          </cell>
          <cell r="AL28">
            <v>421553.73070168897</v>
          </cell>
          <cell r="AM28">
            <v>132257.60703293304</v>
          </cell>
          <cell r="AN28">
            <v>135636.13451581594</v>
          </cell>
          <cell r="AO28">
            <v>606443.80792581127</v>
          </cell>
          <cell r="AP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607202.10089324776</v>
          </cell>
          <cell r="S31">
            <v>0</v>
          </cell>
          <cell r="T31">
            <v>0</v>
          </cell>
          <cell r="U31">
            <v>0</v>
          </cell>
          <cell r="V31">
            <v>758.29296743645421</v>
          </cell>
          <cell r="W31">
            <v>606443.80792581127</v>
          </cell>
          <cell r="X31">
            <v>688689.17928300146</v>
          </cell>
          <cell r="Y31">
            <v>0</v>
          </cell>
          <cell r="Z31">
            <v>421553.73070168897</v>
          </cell>
          <cell r="AA31">
            <v>132257.60703293304</v>
          </cell>
          <cell r="AB31">
            <v>134877.84154837948</v>
          </cell>
          <cell r="AC31">
            <v>0</v>
          </cell>
          <cell r="AD31">
            <v>127838.86955145246</v>
          </cell>
          <cell r="AE31">
            <v>0</v>
          </cell>
          <cell r="AF31">
            <v>24873.879143405888</v>
          </cell>
          <cell r="AG31">
            <v>473.01034874371845</v>
          </cell>
          <cell r="AH31">
            <v>102491.98005930285</v>
          </cell>
          <cell r="AI31">
            <v>0</v>
          </cell>
          <cell r="AJ31">
            <v>1295891.2801762493</v>
          </cell>
          <cell r="AK31">
            <v>0</v>
          </cell>
          <cell r="AL31">
            <v>421553.73070168897</v>
          </cell>
          <cell r="AM31">
            <v>132257.60703293304</v>
          </cell>
          <cell r="AN31">
            <v>135636.13451581594</v>
          </cell>
          <cell r="AO31">
            <v>606443.80792581127</v>
          </cell>
          <cell r="AP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78834.208841800777</v>
          </cell>
          <cell r="S32">
            <v>0</v>
          </cell>
          <cell r="T32">
            <v>0</v>
          </cell>
          <cell r="U32">
            <v>0</v>
          </cell>
          <cell r="V32">
            <v>39.959018559139452</v>
          </cell>
          <cell r="W32">
            <v>78794.24982324164</v>
          </cell>
          <cell r="X32">
            <v>71893.07133444841</v>
          </cell>
          <cell r="Y32">
            <v>0</v>
          </cell>
          <cell r="Z32">
            <v>47717.746734427586</v>
          </cell>
          <cell r="AA32">
            <v>17665.001501273033</v>
          </cell>
          <cell r="AB32">
            <v>6510.3230987477946</v>
          </cell>
          <cell r="AC32">
            <v>0</v>
          </cell>
          <cell r="AD32">
            <v>7826.3218320839187</v>
          </cell>
          <cell r="AE32">
            <v>0</v>
          </cell>
          <cell r="AF32">
            <v>2814.3373571992515</v>
          </cell>
          <cell r="AG32">
            <v>70.552342315085298</v>
          </cell>
          <cell r="AH32">
            <v>4941.4321325695819</v>
          </cell>
          <cell r="AI32">
            <v>0</v>
          </cell>
          <cell r="AJ32">
            <v>150727.28017624919</v>
          </cell>
          <cell r="AK32">
            <v>0</v>
          </cell>
          <cell r="AL32">
            <v>47717.746734427586</v>
          </cell>
          <cell r="AM32">
            <v>17665.001501273033</v>
          </cell>
          <cell r="AN32">
            <v>6550.2821173069342</v>
          </cell>
          <cell r="AO32">
            <v>78794.24982324164</v>
          </cell>
          <cell r="AP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 t="e">
            <v>#DIV/0!</v>
          </cell>
          <cell r="S34">
            <v>0</v>
          </cell>
          <cell r="T34">
            <v>0</v>
          </cell>
          <cell r="U34">
            <v>0</v>
          </cell>
          <cell r="V34" t="e">
            <v>#DIV/0!</v>
          </cell>
          <cell r="W34" t="e">
            <v>#DIV/0!</v>
          </cell>
          <cell r="X34" t="e">
            <v>#DIV/0!</v>
          </cell>
          <cell r="Y34">
            <v>0</v>
          </cell>
          <cell r="Z34" t="e">
            <v>#DIV/0!</v>
          </cell>
          <cell r="AA34" t="e">
            <v>#DIV/0!</v>
          </cell>
          <cell r="AB34" t="e">
            <v>#DIV/0!</v>
          </cell>
          <cell r="AC34">
            <v>0</v>
          </cell>
          <cell r="AD34" t="e">
            <v>#DIV/0!</v>
          </cell>
          <cell r="AE34">
            <v>0</v>
          </cell>
          <cell r="AF34" t="e">
            <v>#DIV/0!</v>
          </cell>
          <cell r="AG34" t="e">
            <v>#DIV/0!</v>
          </cell>
          <cell r="AH34" t="e">
            <v>#DIV/0!</v>
          </cell>
          <cell r="AI34">
            <v>0</v>
          </cell>
          <cell r="AJ34" t="e">
            <v>#DIV/0!</v>
          </cell>
          <cell r="AK34">
            <v>0</v>
          </cell>
          <cell r="AL34" t="e">
            <v>#DIV/0!</v>
          </cell>
          <cell r="AM34" t="e">
            <v>#DIV/0!</v>
          </cell>
          <cell r="AN34" t="e">
            <v>#DIV/0!</v>
          </cell>
          <cell r="AO34" t="e">
            <v>#DIV/0!</v>
          </cell>
          <cell r="AP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 t="e">
            <v>#DIV/0!</v>
          </cell>
          <cell r="S35">
            <v>0</v>
          </cell>
          <cell r="T35">
            <v>0</v>
          </cell>
          <cell r="U35">
            <v>0</v>
          </cell>
          <cell r="V35" t="e">
            <v>#DIV/0!</v>
          </cell>
          <cell r="W35" t="e">
            <v>#DIV/0!</v>
          </cell>
          <cell r="X35" t="e">
            <v>#DIV/0!</v>
          </cell>
          <cell r="Y35">
            <v>0</v>
          </cell>
          <cell r="Z35" t="e">
            <v>#DIV/0!</v>
          </cell>
          <cell r="AA35" t="e">
            <v>#DIV/0!</v>
          </cell>
          <cell r="AB35" t="e">
            <v>#DIV/0!</v>
          </cell>
          <cell r="AC35">
            <v>0</v>
          </cell>
          <cell r="AD35" t="e">
            <v>#DIV/0!</v>
          </cell>
          <cell r="AE35">
            <v>0</v>
          </cell>
          <cell r="AF35" t="e">
            <v>#DIV/0!</v>
          </cell>
          <cell r="AG35" t="e">
            <v>#DIV/0!</v>
          </cell>
          <cell r="AH35" t="e">
            <v>#DIV/0!</v>
          </cell>
          <cell r="AI35">
            <v>0</v>
          </cell>
          <cell r="AJ35" t="e">
            <v>#DIV/0!</v>
          </cell>
          <cell r="AK35">
            <v>0</v>
          </cell>
          <cell r="AL35" t="e">
            <v>#DIV/0!</v>
          </cell>
          <cell r="AM35" t="e">
            <v>#DIV/0!</v>
          </cell>
          <cell r="AN35" t="e">
            <v>#DIV/0!</v>
          </cell>
          <cell r="AO35" t="e">
            <v>#DIV/0!</v>
          </cell>
          <cell r="AP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</sheetData>
      <sheetData sheetId="46" refreshError="1">
        <row r="10">
          <cell r="C10" t="str">
            <v>Всего</v>
          </cell>
          <cell r="D10" t="str">
            <v>Всего</v>
          </cell>
          <cell r="E10">
            <v>0</v>
          </cell>
          <cell r="F10">
            <v>0</v>
          </cell>
          <cell r="G10" t="e">
            <v>#DIV/0!</v>
          </cell>
          <cell r="H10">
            <v>0</v>
          </cell>
          <cell r="I10" t="e">
            <v>#DIV/0!</v>
          </cell>
          <cell r="J10">
            <v>0</v>
          </cell>
        </row>
        <row r="11">
          <cell r="C11" t="str">
            <v>Всего</v>
          </cell>
          <cell r="D11" t="str">
            <v>Горячая вода</v>
          </cell>
          <cell r="E11">
            <v>0</v>
          </cell>
          <cell r="F11">
            <v>0</v>
          </cell>
          <cell r="G11" t="e">
            <v>#DIV/0!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Всего</v>
          </cell>
          <cell r="D12" t="str">
            <v>Пар 1,2-2,5 кгс/см2</v>
          </cell>
          <cell r="E12">
            <v>0</v>
          </cell>
          <cell r="F12">
            <v>0</v>
          </cell>
          <cell r="G12" t="e">
            <v>#DIV/0!</v>
          </cell>
          <cell r="H12">
            <v>0</v>
          </cell>
          <cell r="I12">
            <v>0</v>
          </cell>
          <cell r="J12">
            <v>0</v>
          </cell>
        </row>
        <row r="13">
          <cell r="C13" t="str">
            <v>Всего</v>
          </cell>
          <cell r="D13" t="str">
            <v>Пар 2,5-7,0 кгс/см2</v>
          </cell>
          <cell r="E13">
            <v>0</v>
          </cell>
          <cell r="F13">
            <v>0</v>
          </cell>
          <cell r="G13" t="e">
            <v>#DIV/0!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Всего</v>
          </cell>
          <cell r="D14" t="str">
            <v>Пар 7,0-13,0 кгс/см2</v>
          </cell>
          <cell r="E14">
            <v>0</v>
          </cell>
          <cell r="F14">
            <v>0</v>
          </cell>
          <cell r="G14" t="e">
            <v>#DIV/0!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Всего</v>
          </cell>
          <cell r="D15" t="str">
            <v>Пар больше 13 кгс/см2</v>
          </cell>
          <cell r="E15">
            <v>0</v>
          </cell>
          <cell r="F15">
            <v>0</v>
          </cell>
          <cell r="G15" t="e">
            <v>#DIV/0!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>
            <v>0</v>
          </cell>
          <cell r="F16">
            <v>0</v>
          </cell>
          <cell r="G16" t="e">
            <v>#DIV/0!</v>
          </cell>
          <cell r="H16">
            <v>0</v>
          </cell>
          <cell r="I16">
            <v>0</v>
          </cell>
          <cell r="J16">
            <v>0</v>
          </cell>
        </row>
        <row r="30">
          <cell r="C30">
            <v>0</v>
          </cell>
          <cell r="D30" t="str">
            <v>Всего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 t="str">
            <v>Горячая вода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 t="str">
            <v>Пар 1,2-2,5 кгс/см2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 t="str">
            <v>Пар 2,5-7,0 кгс/см2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C34">
            <v>0</v>
          </cell>
          <cell r="D34" t="str">
            <v>Пар 7,0-13,0 кгс/см2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C35">
            <v>0</v>
          </cell>
          <cell r="D35" t="str">
            <v>Пар больше 13 кгс/см2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 t="str">
            <v>Острый и редуцированный пар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</sheetData>
      <sheetData sheetId="47" refreshError="1">
        <row r="9">
          <cell r="D9">
            <v>0</v>
          </cell>
          <cell r="E9">
            <v>0</v>
          </cell>
          <cell r="G9">
            <v>0</v>
          </cell>
          <cell r="H9">
            <v>0</v>
          </cell>
        </row>
        <row r="10">
          <cell r="D10">
            <v>0</v>
          </cell>
          <cell r="E10">
            <v>0</v>
          </cell>
          <cell r="G10">
            <v>0</v>
          </cell>
          <cell r="H10">
            <v>0</v>
          </cell>
        </row>
        <row r="11">
          <cell r="D11" t="e">
            <v>#DIV/0!</v>
          </cell>
          <cell r="E11" t="e">
            <v>#DIV/0!</v>
          </cell>
          <cell r="G11">
            <v>0</v>
          </cell>
          <cell r="H11">
            <v>0</v>
          </cell>
        </row>
      </sheetData>
      <sheetData sheetId="48" refreshError="1">
        <row r="9">
          <cell r="E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H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H11">
            <v>0</v>
          </cell>
          <cell r="I11">
            <v>0</v>
          </cell>
        </row>
        <row r="13">
          <cell r="E13" t="e">
            <v>#DIV/0!</v>
          </cell>
          <cell r="F13" t="e">
            <v>#DIV/0!</v>
          </cell>
          <cell r="H13">
            <v>0</v>
          </cell>
          <cell r="I13">
            <v>0</v>
          </cell>
        </row>
        <row r="15">
          <cell r="C15" t="str">
            <v>Пар 1,2-2,5 кгс/см2</v>
          </cell>
        </row>
        <row r="16">
          <cell r="C16" t="str">
            <v>Пар 2,5-7,0 кгс/см2</v>
          </cell>
        </row>
        <row r="17">
          <cell r="C17" t="str">
            <v>Пар 7,0-13,0 кгс/см2</v>
          </cell>
        </row>
        <row r="18">
          <cell r="C18" t="str">
            <v>Пар больше 13 кгс/см2</v>
          </cell>
        </row>
        <row r="19">
          <cell r="C19" t="str">
            <v>Острый и редуцированный пар</v>
          </cell>
        </row>
        <row r="20">
          <cell r="C20" t="str">
            <v>Горячая вода</v>
          </cell>
        </row>
        <row r="22">
          <cell r="C22" t="str">
            <v>Пар 1,2-2,5 кгс/см2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C23" t="str">
            <v>Пар 2,5-7,0 кгс/см2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 t="str">
            <v>Пар 7,0-13,0 кгс/см2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C25" t="str">
            <v>Пар больше 13 кгс/см2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 t="str">
            <v>Острый и редуцированный пар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</row>
        <row r="27">
          <cell r="C27" t="str">
            <v>Горячая вода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</row>
      </sheetData>
      <sheetData sheetId="49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C17" t="str">
            <v>Всего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  <cell r="M18" t="e">
            <v>#DIV/0!</v>
          </cell>
          <cell r="N18" t="e">
            <v>#DIV/0!</v>
          </cell>
          <cell r="O18" t="e">
            <v>#DIV/0!</v>
          </cell>
          <cell r="P18" t="e">
            <v>#DIV/0!</v>
          </cell>
          <cell r="Q18" t="e">
            <v>#DIV/0!</v>
          </cell>
          <cell r="R18" t="e">
            <v>#DIV/0!</v>
          </cell>
          <cell r="S18" t="e">
            <v>#DIV/0!</v>
          </cell>
        </row>
        <row r="19">
          <cell r="C19" t="str">
            <v>Всего</v>
          </cell>
          <cell r="E19">
            <v>0</v>
          </cell>
          <cell r="F19">
            <v>0</v>
          </cell>
          <cell r="G19" t="e">
            <v>#DIV/0!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#DIV/0!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1">
          <cell r="C21" t="str">
            <v>Всего</v>
          </cell>
          <cell r="E21">
            <v>0</v>
          </cell>
          <cell r="F21" t="e">
            <v>#DIV/0!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  <cell r="M21" t="e">
            <v>#DIV/0!</v>
          </cell>
          <cell r="N21" t="e">
            <v>#DIV/0!</v>
          </cell>
          <cell r="O21" t="e">
            <v>#DIV/0!</v>
          </cell>
          <cell r="P21" t="e">
            <v>#DIV/0!</v>
          </cell>
          <cell r="Q21" t="e">
            <v>#DIV/0!</v>
          </cell>
          <cell r="R21" t="e">
            <v>#DIV/0!</v>
          </cell>
          <cell r="S21" t="e">
            <v>#DIV/0!</v>
          </cell>
        </row>
        <row r="22">
          <cell r="C22" t="str">
            <v>Всего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 t="str">
            <v>Всего</v>
          </cell>
          <cell r="E23">
            <v>0</v>
          </cell>
          <cell r="F23" t="e">
            <v>#DIV/0!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  <cell r="M23" t="e">
            <v>#DIV/0!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R23" t="e">
            <v>#DIV/0!</v>
          </cell>
          <cell r="S23" t="e">
            <v>#DIV/0!</v>
          </cell>
        </row>
        <row r="25">
          <cell r="C25" t="str">
            <v>Всего</v>
          </cell>
          <cell r="E25">
            <v>0</v>
          </cell>
          <cell r="F25" t="e">
            <v>#DIV/0!</v>
          </cell>
          <cell r="G25" t="e">
            <v>#DIV/0!</v>
          </cell>
          <cell r="H25" t="e">
            <v>#DIV/0!</v>
          </cell>
          <cell r="I25" t="e">
            <v>#DIV/0!</v>
          </cell>
          <cell r="J25" t="e">
            <v>#DIV/0!</v>
          </cell>
          <cell r="K25" t="e">
            <v>#DIV/0!</v>
          </cell>
          <cell r="L25" t="e">
            <v>#DIV/0!</v>
          </cell>
          <cell r="M25" t="e">
            <v>#DIV/0!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R25" t="e">
            <v>#DIV/0!</v>
          </cell>
          <cell r="S25" t="e">
            <v>#DIV/0!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#DIV/0!</v>
          </cell>
          <cell r="F27" t="e">
            <v>#DIV/0!</v>
          </cell>
          <cell r="G27" t="e">
            <v>#DIV/0!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  <cell r="N27" t="e">
            <v>#DIV/0!</v>
          </cell>
          <cell r="O27" t="e">
            <v>#DIV/0!</v>
          </cell>
          <cell r="P27" t="e">
            <v>#DIV/0!</v>
          </cell>
          <cell r="Q27" t="e">
            <v>#DIV/0!</v>
          </cell>
          <cell r="R27" t="e">
            <v>#DIV/0!</v>
          </cell>
          <cell r="S27" t="e">
            <v>#DIV/0!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#DIV/0!</v>
          </cell>
          <cell r="F30" t="e">
            <v>#DIV/0!</v>
          </cell>
          <cell r="G30" t="e">
            <v>#DIV/0!</v>
          </cell>
          <cell r="H30" t="e">
            <v>#DIV/0!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  <cell r="M30" t="e">
            <v>#DIV/0!</v>
          </cell>
          <cell r="N30" t="e">
            <v>#DIV/0!</v>
          </cell>
          <cell r="O30" t="e">
            <v>#DIV/0!</v>
          </cell>
          <cell r="P30" t="e">
            <v>#DIV/0!</v>
          </cell>
          <cell r="Q30" t="e">
            <v>#DIV/0!</v>
          </cell>
          <cell r="R30" t="e">
            <v>#DIV/0!</v>
          </cell>
          <cell r="S30" t="e">
            <v>#DIV/0!</v>
          </cell>
        </row>
        <row r="41">
          <cell r="A41" t="str">
            <v>1.</v>
          </cell>
          <cell r="B41" t="str">
            <v>Объем полезного отпуска</v>
          </cell>
          <cell r="C41">
            <v>0</v>
          </cell>
          <cell r="D41" t="str">
            <v>тыс.Гкал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A42" t="str">
            <v>2.</v>
          </cell>
          <cell r="B42" t="str">
            <v>Расчетная мощность</v>
          </cell>
          <cell r="C42">
            <v>0</v>
          </cell>
          <cell r="D42" t="str">
            <v>Гкал/час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4">
          <cell r="C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A45" t="str">
            <v>3.1.</v>
          </cell>
          <cell r="B45" t="str">
            <v>Ставка за мощность</v>
          </cell>
          <cell r="C45">
            <v>0</v>
          </cell>
          <cell r="D45" t="str">
            <v>руб/Гкал/час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8">
          <cell r="C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2">
          <cell r="C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4">
          <cell r="A54" t="str">
            <v>6.</v>
          </cell>
          <cell r="B54" t="str">
            <v>Товарная продукция всего п.5*п.1</v>
          </cell>
          <cell r="C54">
            <v>0</v>
          </cell>
          <cell r="D54" t="str">
            <v>тыс.руб.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0</v>
          </cell>
        </row>
        <row r="56">
          <cell r="A56" t="str">
            <v>6.1.</v>
          </cell>
          <cell r="B56" t="str">
            <v>- за тепловую энергию п.3*п.1</v>
          </cell>
          <cell r="C56">
            <v>0</v>
          </cell>
          <cell r="D56" t="str">
            <v>тыс.руб.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A57" t="str">
            <v>6.2.</v>
          </cell>
          <cell r="B57" t="str">
            <v>- за услуги п.4*п. 1</v>
          </cell>
          <cell r="C57">
            <v>0</v>
          </cell>
          <cell r="D57" t="str">
            <v>тыс.руб.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</sheetData>
      <sheetData sheetId="50" refreshError="1">
        <row r="14">
          <cell r="G14">
            <v>0</v>
          </cell>
          <cell r="H14">
            <v>68.27176781002639</v>
          </cell>
          <cell r="I14">
            <v>0</v>
          </cell>
          <cell r="J14">
            <v>0</v>
          </cell>
          <cell r="K14">
            <v>947.86620929556773</v>
          </cell>
          <cell r="L14">
            <v>1788.181305436726</v>
          </cell>
          <cell r="M14">
            <v>0</v>
          </cell>
          <cell r="N14">
            <v>0</v>
          </cell>
          <cell r="O14" t="e">
            <v>#DIV/0!</v>
          </cell>
          <cell r="P14" t="e">
            <v>#DIV/0!</v>
          </cell>
          <cell r="Q14">
            <v>0</v>
          </cell>
          <cell r="R14">
            <v>0</v>
          </cell>
          <cell r="S14">
            <v>947.86620929556773</v>
          </cell>
          <cell r="T14">
            <v>1788.181305436726</v>
          </cell>
        </row>
        <row r="16">
          <cell r="G16" t="e">
            <v>#DIV/0!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x</v>
          </cell>
          <cell r="N16" t="str">
            <v>x</v>
          </cell>
          <cell r="O16" t="str">
            <v>x</v>
          </cell>
          <cell r="P16" t="str">
            <v>x</v>
          </cell>
          <cell r="Q16" t="str">
            <v>x</v>
          </cell>
          <cell r="R16" t="str">
            <v>x</v>
          </cell>
          <cell r="S16" t="str">
            <v>x</v>
          </cell>
          <cell r="T16" t="str">
            <v>x</v>
          </cell>
          <cell r="U16" t="str">
            <v>x</v>
          </cell>
          <cell r="V16" t="str">
            <v>x</v>
          </cell>
          <cell r="W16" t="str">
            <v>x</v>
          </cell>
          <cell r="X16" t="str">
            <v>x</v>
          </cell>
        </row>
        <row r="17">
          <cell r="G17" t="e">
            <v>#VALUE!</v>
          </cell>
          <cell r="H17">
            <v>68.27176781002639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x</v>
          </cell>
          <cell r="N17" t="str">
            <v>x</v>
          </cell>
          <cell r="O17" t="str">
            <v>x</v>
          </cell>
          <cell r="P17" t="str">
            <v>x</v>
          </cell>
          <cell r="Q17" t="str">
            <v>x</v>
          </cell>
          <cell r="R17" t="str">
            <v>x</v>
          </cell>
          <cell r="S17" t="str">
            <v>x</v>
          </cell>
          <cell r="T17" t="str">
            <v>x</v>
          </cell>
          <cell r="U17" t="str">
            <v>x</v>
          </cell>
          <cell r="V17" t="str">
            <v>x</v>
          </cell>
          <cell r="W17" t="str">
            <v>x</v>
          </cell>
          <cell r="X17" t="str">
            <v>x</v>
          </cell>
        </row>
        <row r="20">
          <cell r="G20">
            <v>0</v>
          </cell>
          <cell r="H20">
            <v>68.27176781002639</v>
          </cell>
          <cell r="I20">
            <v>198.13508956034639</v>
          </cell>
          <cell r="J20">
            <v>273.41638655706271</v>
          </cell>
          <cell r="K20">
            <v>1036.005054678084</v>
          </cell>
          <cell r="L20">
            <v>0</v>
          </cell>
          <cell r="M20" t="e">
            <v>#DIV/0!</v>
          </cell>
          <cell r="N20" t="e">
            <v>#DIV/0!</v>
          </cell>
          <cell r="O20" t="e">
            <v>#DIV/0!</v>
          </cell>
          <cell r="P20">
            <v>0</v>
          </cell>
          <cell r="Q20">
            <v>198.13508956034639</v>
          </cell>
          <cell r="R20">
            <v>273.41638655706271</v>
          </cell>
          <cell r="S20">
            <v>1036.005054678084</v>
          </cell>
          <cell r="T20">
            <v>0</v>
          </cell>
        </row>
        <row r="21"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  <row r="22"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  <row r="23"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</row>
        <row r="24">
          <cell r="I24" t="e">
            <v>#DIV/0!</v>
          </cell>
          <cell r="J24" t="e">
            <v>#DIV/0!</v>
          </cell>
          <cell r="K24" t="e">
            <v>#DIV/0!</v>
          </cell>
          <cell r="L24" t="e">
            <v>#DIV/0!</v>
          </cell>
        </row>
        <row r="25">
          <cell r="I25" t="e">
            <v>#DIV/0!</v>
          </cell>
          <cell r="J25" t="e">
            <v>#DIV/0!</v>
          </cell>
          <cell r="K25" t="e">
            <v>#DIV/0!</v>
          </cell>
          <cell r="L25" t="e">
            <v>#DIV/0!</v>
          </cell>
        </row>
        <row r="27">
          <cell r="G27" t="e">
            <v>#DIV/0!</v>
          </cell>
          <cell r="H27" t="str">
            <v>х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8">
          <cell r="G28" t="e">
            <v>#DIV/0!</v>
          </cell>
          <cell r="H28">
            <v>68.27176781002639</v>
          </cell>
          <cell r="I28" t="e">
            <v>#DIV/0!</v>
          </cell>
          <cell r="J28" t="e">
            <v>#DIV/0!</v>
          </cell>
          <cell r="K28" t="e">
            <v>#DIV/0!</v>
          </cell>
          <cell r="L28">
            <v>0</v>
          </cell>
          <cell r="M28" t="str">
            <v>x</v>
          </cell>
          <cell r="N28" t="str">
            <v>x</v>
          </cell>
          <cell r="O28" t="str">
            <v>x</v>
          </cell>
          <cell r="P28" t="str">
            <v>x</v>
          </cell>
          <cell r="Q28" t="str">
            <v>x</v>
          </cell>
          <cell r="R28" t="str">
            <v>x</v>
          </cell>
          <cell r="S28" t="str">
            <v>x</v>
          </cell>
          <cell r="T28" t="str">
            <v>x</v>
          </cell>
          <cell r="U28" t="str">
            <v>x</v>
          </cell>
          <cell r="V28" t="str">
            <v>x</v>
          </cell>
          <cell r="W28" t="str">
            <v>x</v>
          </cell>
          <cell r="X28" t="str">
            <v>x</v>
          </cell>
        </row>
        <row r="31">
          <cell r="G31">
            <v>0</v>
          </cell>
          <cell r="H31">
            <v>68.27176781002639</v>
          </cell>
          <cell r="I31">
            <v>0</v>
          </cell>
          <cell r="J31">
            <v>0</v>
          </cell>
          <cell r="K31">
            <v>947.86620929556773</v>
          </cell>
          <cell r="L31">
            <v>1788.181305436726</v>
          </cell>
          <cell r="M31">
            <v>0</v>
          </cell>
          <cell r="N31">
            <v>0</v>
          </cell>
          <cell r="O31" t="e">
            <v>#DIV/0!</v>
          </cell>
          <cell r="P31" t="e">
            <v>#DIV/0!</v>
          </cell>
          <cell r="Q31">
            <v>0</v>
          </cell>
          <cell r="R31">
            <v>0</v>
          </cell>
          <cell r="S31">
            <v>947.86620929556773</v>
          </cell>
          <cell r="T31">
            <v>1788.181305436726</v>
          </cell>
        </row>
        <row r="34">
          <cell r="G34">
            <v>0</v>
          </cell>
          <cell r="H34">
            <v>68.27176781002639</v>
          </cell>
          <cell r="I34">
            <v>198.04644017631119</v>
          </cell>
          <cell r="J34">
            <v>305.33199518176434</v>
          </cell>
          <cell r="K34">
            <v>1034.8154177411345</v>
          </cell>
          <cell r="L34">
            <v>0</v>
          </cell>
          <cell r="M34" t="e">
            <v>#DIV/0!</v>
          </cell>
          <cell r="N34" t="e">
            <v>#DIV/0!</v>
          </cell>
          <cell r="O34" t="e">
            <v>#DIV/0!</v>
          </cell>
          <cell r="P34">
            <v>0</v>
          </cell>
          <cell r="Q34">
            <v>198.04644017631119</v>
          </cell>
          <cell r="R34">
            <v>305.33199518176434</v>
          </cell>
          <cell r="S34">
            <v>1034.8154177411345</v>
          </cell>
          <cell r="T34">
            <v>0</v>
          </cell>
        </row>
        <row r="35">
          <cell r="I35" t="e">
            <v>#DIV/0!</v>
          </cell>
          <cell r="J35" t="e">
            <v>#DIV/0!</v>
          </cell>
          <cell r="K35" t="e">
            <v>#DIV/0!</v>
          </cell>
          <cell r="L35" t="e">
            <v>#DIV/0!</v>
          </cell>
        </row>
        <row r="36"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</row>
        <row r="37"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</row>
        <row r="38"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</row>
        <row r="39">
          <cell r="I39" t="e">
            <v>#DIV/0!</v>
          </cell>
          <cell r="J39" t="e">
            <v>#DIV/0!</v>
          </cell>
          <cell r="K39" t="e">
            <v>#DIV/0!</v>
          </cell>
          <cell r="L39" t="e">
            <v>#DIV/0!</v>
          </cell>
        </row>
        <row r="41">
          <cell r="G41" t="e">
            <v>#DIV/0!</v>
          </cell>
          <cell r="H41" t="str">
            <v>х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str">
            <v>x</v>
          </cell>
          <cell r="N41" t="str">
            <v>x</v>
          </cell>
          <cell r="O41" t="str">
            <v>x</v>
          </cell>
          <cell r="P41" t="str">
            <v>x</v>
          </cell>
          <cell r="Q41" t="str">
            <v>x</v>
          </cell>
          <cell r="R41" t="str">
            <v>x</v>
          </cell>
          <cell r="S41" t="str">
            <v>x</v>
          </cell>
          <cell r="T41" t="str">
            <v>x</v>
          </cell>
          <cell r="U41" t="str">
            <v>x</v>
          </cell>
          <cell r="V41" t="str">
            <v>x</v>
          </cell>
          <cell r="W41" t="str">
            <v>x</v>
          </cell>
          <cell r="X41" t="str">
            <v>x</v>
          </cell>
        </row>
        <row r="42">
          <cell r="G42" t="e">
            <v>#DIV/0!</v>
          </cell>
          <cell r="H42">
            <v>68.27176781002639</v>
          </cell>
          <cell r="I42" t="e">
            <v>#DIV/0!</v>
          </cell>
          <cell r="J42" t="e">
            <v>#DIV/0!</v>
          </cell>
          <cell r="K42" t="e">
            <v>#DIV/0!</v>
          </cell>
          <cell r="L42">
            <v>0</v>
          </cell>
          <cell r="M42" t="str">
            <v>x</v>
          </cell>
          <cell r="N42" t="str">
            <v>x</v>
          </cell>
          <cell r="O42" t="str">
            <v>x</v>
          </cell>
          <cell r="P42" t="str">
            <v>x</v>
          </cell>
          <cell r="Q42" t="str">
            <v>x</v>
          </cell>
          <cell r="R42" t="str">
            <v>x</v>
          </cell>
          <cell r="S42" t="str">
            <v>x</v>
          </cell>
          <cell r="T42" t="str">
            <v>x</v>
          </cell>
          <cell r="U42" t="str">
            <v>x</v>
          </cell>
          <cell r="V42" t="str">
            <v>x</v>
          </cell>
          <cell r="W42" t="str">
            <v>x</v>
          </cell>
          <cell r="X42" t="str">
            <v>x</v>
          </cell>
        </row>
      </sheetData>
      <sheetData sheetId="51" refreshError="1">
        <row r="7">
          <cell r="F7">
            <v>800</v>
          </cell>
          <cell r="H7">
            <v>0</v>
          </cell>
        </row>
        <row r="8">
          <cell r="F8">
            <v>600</v>
          </cell>
          <cell r="H8">
            <v>0</v>
          </cell>
        </row>
        <row r="9">
          <cell r="F9">
            <v>400</v>
          </cell>
          <cell r="H9">
            <v>0</v>
          </cell>
        </row>
        <row r="10">
          <cell r="F10">
            <v>300</v>
          </cell>
          <cell r="H10">
            <v>0</v>
          </cell>
        </row>
        <row r="11">
          <cell r="F11">
            <v>230</v>
          </cell>
          <cell r="H11">
            <v>0</v>
          </cell>
        </row>
        <row r="12">
          <cell r="F12">
            <v>170</v>
          </cell>
          <cell r="H12">
            <v>0</v>
          </cell>
        </row>
        <row r="13">
          <cell r="F13">
            <v>290</v>
          </cell>
          <cell r="H13">
            <v>0</v>
          </cell>
        </row>
        <row r="14">
          <cell r="F14">
            <v>210</v>
          </cell>
          <cell r="H14">
            <v>0</v>
          </cell>
        </row>
        <row r="15">
          <cell r="F15">
            <v>260</v>
          </cell>
          <cell r="H15">
            <v>0</v>
          </cell>
        </row>
        <row r="16">
          <cell r="F16">
            <v>210</v>
          </cell>
          <cell r="G16">
            <v>23.2</v>
          </cell>
          <cell r="H16">
            <v>48.72</v>
          </cell>
        </row>
        <row r="17">
          <cell r="F17">
            <v>140</v>
          </cell>
          <cell r="G17">
            <v>92.5</v>
          </cell>
          <cell r="H17">
            <v>129.5</v>
          </cell>
        </row>
        <row r="18">
          <cell r="F18">
            <v>270</v>
          </cell>
          <cell r="G18">
            <v>4.8</v>
          </cell>
          <cell r="H18">
            <v>12.96</v>
          </cell>
        </row>
        <row r="19">
          <cell r="F19">
            <v>180</v>
          </cell>
          <cell r="G19">
            <v>10.199999999999999</v>
          </cell>
          <cell r="H19">
            <v>18.36</v>
          </cell>
        </row>
        <row r="20">
          <cell r="F20">
            <v>180</v>
          </cell>
          <cell r="G20">
            <v>163</v>
          </cell>
          <cell r="H20">
            <v>293.39999999999998</v>
          </cell>
        </row>
        <row r="21">
          <cell r="F21">
            <v>160</v>
          </cell>
          <cell r="G21">
            <v>96</v>
          </cell>
          <cell r="H21">
            <v>153.6</v>
          </cell>
        </row>
        <row r="22">
          <cell r="F22">
            <v>130</v>
          </cell>
          <cell r="G22">
            <v>1390</v>
          </cell>
          <cell r="H22">
            <v>1807</v>
          </cell>
        </row>
        <row r="23">
          <cell r="F23">
            <v>190</v>
          </cell>
          <cell r="G23">
            <v>128.1</v>
          </cell>
          <cell r="H23">
            <v>243.39</v>
          </cell>
        </row>
        <row r="24">
          <cell r="F24">
            <v>160</v>
          </cell>
          <cell r="G24">
            <v>528.79999999999995</v>
          </cell>
          <cell r="H24">
            <v>846.08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3553.0099999999998</v>
          </cell>
        </row>
        <row r="28">
          <cell r="F28">
            <v>170</v>
          </cell>
          <cell r="G28">
            <v>16</v>
          </cell>
          <cell r="H28">
            <v>27.2</v>
          </cell>
        </row>
        <row r="29">
          <cell r="F29">
            <v>140</v>
          </cell>
          <cell r="G29">
            <v>22</v>
          </cell>
          <cell r="H29">
            <v>30.8</v>
          </cell>
        </row>
        <row r="30">
          <cell r="F30">
            <v>120</v>
          </cell>
          <cell r="G30">
            <v>477</v>
          </cell>
          <cell r="H30">
            <v>572.4</v>
          </cell>
        </row>
        <row r="31">
          <cell r="F31">
            <v>180</v>
          </cell>
          <cell r="G31">
            <v>34</v>
          </cell>
          <cell r="H31">
            <v>61.2</v>
          </cell>
        </row>
        <row r="32">
          <cell r="F32">
            <v>150</v>
          </cell>
          <cell r="G32">
            <v>54</v>
          </cell>
          <cell r="H32">
            <v>81</v>
          </cell>
        </row>
        <row r="33">
          <cell r="F33">
            <v>160</v>
          </cell>
          <cell r="G33">
            <v>318</v>
          </cell>
          <cell r="H33">
            <v>508.8</v>
          </cell>
        </row>
        <row r="34">
          <cell r="F34">
            <v>140</v>
          </cell>
          <cell r="G34">
            <v>2829</v>
          </cell>
          <cell r="H34">
            <v>3960.6</v>
          </cell>
        </row>
        <row r="35">
          <cell r="F35">
            <v>110</v>
          </cell>
          <cell r="G35">
            <v>7449</v>
          </cell>
          <cell r="H35">
            <v>8193.9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772.6</v>
          </cell>
        </row>
        <row r="39">
          <cell r="H39">
            <v>12663.3</v>
          </cell>
        </row>
        <row r="40">
          <cell r="F40">
            <v>260</v>
          </cell>
          <cell r="G40">
            <v>461</v>
          </cell>
          <cell r="H40">
            <v>1198.5999999999999</v>
          </cell>
        </row>
        <row r="41">
          <cell r="F41">
            <v>220</v>
          </cell>
          <cell r="G41">
            <v>3276</v>
          </cell>
          <cell r="H41">
            <v>7207.2</v>
          </cell>
        </row>
        <row r="42">
          <cell r="F42">
            <v>150</v>
          </cell>
          <cell r="G42">
            <v>954</v>
          </cell>
          <cell r="H42">
            <v>1431</v>
          </cell>
        </row>
        <row r="43">
          <cell r="F43">
            <v>270</v>
          </cell>
          <cell r="G43">
            <v>6</v>
          </cell>
          <cell r="H43">
            <v>16.2</v>
          </cell>
        </row>
        <row r="44">
          <cell r="H44">
            <v>9853</v>
          </cell>
        </row>
      </sheetData>
      <sheetData sheetId="52" refreshError="1">
        <row r="7">
          <cell r="F7">
            <v>1000</v>
          </cell>
          <cell r="H7">
            <v>0</v>
          </cell>
        </row>
        <row r="8">
          <cell r="F8">
            <v>600</v>
          </cell>
          <cell r="H8">
            <v>0</v>
          </cell>
        </row>
        <row r="9">
          <cell r="F9">
            <v>500</v>
          </cell>
          <cell r="H9">
            <v>0</v>
          </cell>
        </row>
        <row r="10">
          <cell r="F10">
            <v>250</v>
          </cell>
          <cell r="H10">
            <v>0</v>
          </cell>
        </row>
        <row r="11">
          <cell r="F11">
            <v>210</v>
          </cell>
          <cell r="H11">
            <v>0</v>
          </cell>
        </row>
        <row r="12">
          <cell r="F12">
            <v>105</v>
          </cell>
          <cell r="G12">
            <v>88</v>
          </cell>
          <cell r="H12">
            <v>9240</v>
          </cell>
        </row>
        <row r="13">
          <cell r="F13">
            <v>75</v>
          </cell>
          <cell r="G13">
            <v>46</v>
          </cell>
          <cell r="H13">
            <v>3450</v>
          </cell>
        </row>
        <row r="14">
          <cell r="F14">
            <v>60</v>
          </cell>
          <cell r="H14">
            <v>0</v>
          </cell>
        </row>
        <row r="15">
          <cell r="F15">
            <v>43</v>
          </cell>
          <cell r="H15">
            <v>0</v>
          </cell>
        </row>
        <row r="16">
          <cell r="F16">
            <v>28</v>
          </cell>
          <cell r="H16">
            <v>0</v>
          </cell>
        </row>
        <row r="17">
          <cell r="F17">
            <v>18</v>
          </cell>
          <cell r="H17">
            <v>0</v>
          </cell>
        </row>
        <row r="18">
          <cell r="F18">
            <v>14</v>
          </cell>
          <cell r="H18">
            <v>0</v>
          </cell>
        </row>
        <row r="19">
          <cell r="F19">
            <v>7.8</v>
          </cell>
          <cell r="G19">
            <v>143</v>
          </cell>
          <cell r="H19">
            <v>1115.3999999999999</v>
          </cell>
        </row>
        <row r="20">
          <cell r="F20">
            <v>2.1</v>
          </cell>
          <cell r="G20">
            <v>71</v>
          </cell>
          <cell r="H20">
            <v>149.1</v>
          </cell>
        </row>
        <row r="21">
          <cell r="F21">
            <v>1</v>
          </cell>
          <cell r="G21">
            <v>228</v>
          </cell>
          <cell r="H21">
            <v>228</v>
          </cell>
        </row>
        <row r="22">
          <cell r="F22">
            <v>180</v>
          </cell>
          <cell r="H22">
            <v>0</v>
          </cell>
        </row>
        <row r="23">
          <cell r="F23">
            <v>130</v>
          </cell>
          <cell r="H23">
            <v>0</v>
          </cell>
        </row>
        <row r="24">
          <cell r="F24">
            <v>88</v>
          </cell>
          <cell r="H24">
            <v>0</v>
          </cell>
        </row>
        <row r="25">
          <cell r="F25">
            <v>66</v>
          </cell>
          <cell r="H25">
            <v>0</v>
          </cell>
        </row>
        <row r="26">
          <cell r="F26">
            <v>43</v>
          </cell>
          <cell r="G26">
            <v>0</v>
          </cell>
          <cell r="H26">
            <v>0</v>
          </cell>
        </row>
        <row r="27">
          <cell r="F27">
            <v>26</v>
          </cell>
          <cell r="G27">
            <v>1</v>
          </cell>
          <cell r="H27">
            <v>26</v>
          </cell>
        </row>
        <row r="28">
          <cell r="F28">
            <v>11</v>
          </cell>
          <cell r="H28">
            <v>0</v>
          </cell>
        </row>
        <row r="29">
          <cell r="F29">
            <v>5.5</v>
          </cell>
          <cell r="G29">
            <v>73</v>
          </cell>
          <cell r="H29">
            <v>401.5</v>
          </cell>
        </row>
        <row r="30">
          <cell r="F30">
            <v>23</v>
          </cell>
          <cell r="H30">
            <v>0</v>
          </cell>
        </row>
        <row r="31">
          <cell r="F31">
            <v>14</v>
          </cell>
          <cell r="G31">
            <v>132</v>
          </cell>
          <cell r="H31">
            <v>1848</v>
          </cell>
        </row>
        <row r="32">
          <cell r="F32">
            <v>6.4</v>
          </cell>
          <cell r="G32">
            <v>189</v>
          </cell>
          <cell r="H32">
            <v>1209.6000000000001</v>
          </cell>
        </row>
        <row r="33">
          <cell r="F33">
            <v>3.1</v>
          </cell>
          <cell r="G33">
            <v>2109</v>
          </cell>
          <cell r="H33">
            <v>6537.9000000000005</v>
          </cell>
        </row>
        <row r="34">
          <cell r="F34">
            <v>35</v>
          </cell>
          <cell r="H34">
            <v>0</v>
          </cell>
        </row>
        <row r="35">
          <cell r="F35">
            <v>24</v>
          </cell>
          <cell r="H35">
            <v>0</v>
          </cell>
        </row>
        <row r="36">
          <cell r="F36">
            <v>19</v>
          </cell>
          <cell r="H36">
            <v>0</v>
          </cell>
        </row>
        <row r="37">
          <cell r="F37">
            <v>9.5</v>
          </cell>
          <cell r="G37">
            <v>124</v>
          </cell>
          <cell r="H37">
            <v>1178</v>
          </cell>
        </row>
        <row r="38">
          <cell r="F38">
            <v>4.7</v>
          </cell>
          <cell r="G38">
            <v>8</v>
          </cell>
          <cell r="H38">
            <v>37.6</v>
          </cell>
        </row>
        <row r="39">
          <cell r="F39">
            <v>2.2999999999999998</v>
          </cell>
          <cell r="G39">
            <v>27</v>
          </cell>
          <cell r="H39">
            <v>62.099999999999994</v>
          </cell>
        </row>
        <row r="40">
          <cell r="F40">
            <v>26</v>
          </cell>
          <cell r="H40">
            <v>0</v>
          </cell>
        </row>
        <row r="41">
          <cell r="F41">
            <v>48</v>
          </cell>
          <cell r="H41">
            <v>0</v>
          </cell>
        </row>
        <row r="42">
          <cell r="F42">
            <v>2.4</v>
          </cell>
          <cell r="G42">
            <v>0</v>
          </cell>
          <cell r="H42">
            <v>0</v>
          </cell>
        </row>
        <row r="43">
          <cell r="F43">
            <v>2.4</v>
          </cell>
          <cell r="G43">
            <v>2.8140000000000001</v>
          </cell>
          <cell r="H43">
            <v>6.7535999999999999E-2</v>
          </cell>
        </row>
        <row r="44">
          <cell r="F44">
            <v>2.5</v>
          </cell>
          <cell r="G44">
            <v>66</v>
          </cell>
          <cell r="H44">
            <v>165</v>
          </cell>
        </row>
        <row r="45">
          <cell r="F45">
            <v>2.2999999999999998</v>
          </cell>
          <cell r="G45">
            <v>2685</v>
          </cell>
          <cell r="H45">
            <v>6175.4999999999991</v>
          </cell>
        </row>
        <row r="46">
          <cell r="F46">
            <v>3</v>
          </cell>
          <cell r="G46">
            <v>31</v>
          </cell>
          <cell r="H46">
            <v>93</v>
          </cell>
        </row>
        <row r="47">
          <cell r="F47">
            <v>3.5</v>
          </cell>
          <cell r="H47">
            <v>0</v>
          </cell>
        </row>
        <row r="48">
          <cell r="H48">
            <v>13407.4</v>
          </cell>
        </row>
        <row r="49">
          <cell r="H49">
            <v>4846.3</v>
          </cell>
        </row>
        <row r="50">
          <cell r="H50">
            <v>13663.067535999999</v>
          </cell>
        </row>
        <row r="51">
          <cell r="H51">
            <v>0</v>
          </cell>
        </row>
      </sheetData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AA250"/>
  <sheetViews>
    <sheetView view="pageBreakPreview" zoomScale="90" zoomScaleSheetLayoutView="90" workbookViewId="0">
      <pane xSplit="3" ySplit="5" topLeftCell="D160" activePane="bottomRight" state="frozen"/>
      <selection pane="topRight" activeCell="D1" sqref="D1"/>
      <selection pane="bottomLeft" activeCell="A6" sqref="A6"/>
      <selection pane="bottomRight" activeCell="L151" activeCellId="2" sqref="L44:O44 L46:O46 L151:O151"/>
    </sheetView>
  </sheetViews>
  <sheetFormatPr defaultRowHeight="12"/>
  <cols>
    <col min="1" max="1" width="3" style="83" customWidth="1"/>
    <col min="2" max="2" width="6.5703125" style="84" customWidth="1"/>
    <col min="3" max="3" width="65.42578125" style="83" customWidth="1"/>
    <col min="4" max="4" width="11.28515625" style="83" customWidth="1"/>
    <col min="5" max="5" width="10" style="83" customWidth="1"/>
    <col min="6" max="6" width="11.85546875" style="83" customWidth="1"/>
    <col min="7" max="7" width="11.140625" style="83" customWidth="1"/>
    <col min="8" max="8" width="10.5703125" style="83" customWidth="1"/>
    <col min="9" max="10" width="11.85546875" style="83" customWidth="1"/>
    <col min="11" max="11" width="11.140625" style="83" customWidth="1"/>
    <col min="12" max="12" width="11.28515625" style="83" customWidth="1"/>
    <col min="13" max="13" width="11.42578125" style="83" customWidth="1"/>
    <col min="14" max="14" width="11.140625" style="83" customWidth="1"/>
    <col min="15" max="22" width="11.5703125" style="83" customWidth="1"/>
    <col min="23" max="23" width="10" style="83" hidden="1" customWidth="1"/>
    <col min="24" max="25" width="9.140625" style="83" hidden="1" customWidth="1"/>
    <col min="26" max="26" width="10.42578125" style="83" hidden="1" customWidth="1"/>
    <col min="27" max="27" width="0" style="83" hidden="1" customWidth="1"/>
    <col min="28" max="16384" width="9.140625" style="83"/>
  </cols>
  <sheetData>
    <row r="1" spans="1:22" ht="15.75">
      <c r="A1" s="817" t="s">
        <v>212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638"/>
      <c r="Q1" s="638"/>
      <c r="R1" s="638"/>
      <c r="S1" s="638"/>
      <c r="T1" s="638"/>
      <c r="U1" s="638"/>
      <c r="V1" s="638"/>
    </row>
    <row r="2" spans="1:22" ht="6.75" customHeight="1" thickBot="1"/>
    <row r="3" spans="1:22" s="85" customFormat="1" ht="12" customHeight="1">
      <c r="A3" s="847"/>
      <c r="B3" s="836" t="s">
        <v>0</v>
      </c>
      <c r="C3" s="822" t="s">
        <v>1</v>
      </c>
      <c r="D3" s="824" t="s">
        <v>2</v>
      </c>
      <c r="E3" s="825"/>
      <c r="F3" s="825"/>
      <c r="G3" s="825"/>
      <c r="H3" s="825"/>
      <c r="I3" s="826"/>
      <c r="J3" s="827" t="s">
        <v>3</v>
      </c>
      <c r="K3" s="828"/>
      <c r="L3" s="828"/>
      <c r="M3" s="828"/>
      <c r="N3" s="828"/>
      <c r="O3" s="829"/>
      <c r="P3" s="640"/>
      <c r="Q3" s="640"/>
      <c r="R3" s="640"/>
      <c r="S3" s="640"/>
      <c r="T3" s="640"/>
      <c r="U3" s="640"/>
      <c r="V3" s="640"/>
    </row>
    <row r="4" spans="1:22" s="85" customFormat="1" ht="12.75" customHeight="1">
      <c r="A4" s="848"/>
      <c r="B4" s="837"/>
      <c r="C4" s="823"/>
      <c r="D4" s="830" t="s">
        <v>4</v>
      </c>
      <c r="E4" s="835" t="s">
        <v>5</v>
      </c>
      <c r="F4" s="835"/>
      <c r="G4" s="835" t="s">
        <v>6</v>
      </c>
      <c r="H4" s="835" t="s">
        <v>7</v>
      </c>
      <c r="I4" s="820" t="s">
        <v>8</v>
      </c>
      <c r="J4" s="831" t="s">
        <v>4</v>
      </c>
      <c r="K4" s="833" t="s">
        <v>5</v>
      </c>
      <c r="L4" s="834"/>
      <c r="M4" s="818" t="s">
        <v>6</v>
      </c>
      <c r="N4" s="818" t="s">
        <v>7</v>
      </c>
      <c r="O4" s="820" t="s">
        <v>8</v>
      </c>
      <c r="P4" s="640"/>
      <c r="Q4" s="640"/>
      <c r="R4" s="640"/>
      <c r="S4" s="640"/>
      <c r="T4" s="640"/>
      <c r="U4" s="640"/>
      <c r="V4" s="640"/>
    </row>
    <row r="5" spans="1:22" s="88" customFormat="1" ht="12.75" thickBot="1">
      <c r="A5" s="849"/>
      <c r="B5" s="837"/>
      <c r="C5" s="823"/>
      <c r="D5" s="831"/>
      <c r="E5" s="86">
        <v>220</v>
      </c>
      <c r="F5" s="86">
        <v>110</v>
      </c>
      <c r="G5" s="818"/>
      <c r="H5" s="818"/>
      <c r="I5" s="846"/>
      <c r="J5" s="845"/>
      <c r="K5" s="87">
        <v>220</v>
      </c>
      <c r="L5" s="242">
        <v>110</v>
      </c>
      <c r="M5" s="819"/>
      <c r="N5" s="819"/>
      <c r="O5" s="821"/>
      <c r="P5" s="640"/>
      <c r="Q5" s="640"/>
      <c r="R5" s="640"/>
      <c r="S5" s="640"/>
      <c r="T5" s="640"/>
      <c r="U5" s="640"/>
      <c r="V5" s="640"/>
    </row>
    <row r="6" spans="1:22" ht="13.5" thickTop="1" thickBot="1">
      <c r="A6" s="814" t="s">
        <v>9</v>
      </c>
      <c r="B6" s="243" t="s">
        <v>10</v>
      </c>
      <c r="C6" s="243" t="s">
        <v>11</v>
      </c>
      <c r="D6" s="352">
        <f t="shared" ref="D6:O6" si="0">SUM(D7:D9,D12,D14)</f>
        <v>526850</v>
      </c>
      <c r="E6" s="353">
        <f t="shared" si="0"/>
        <v>0</v>
      </c>
      <c r="F6" s="353">
        <f t="shared" si="0"/>
        <v>427270</v>
      </c>
      <c r="G6" s="353">
        <f t="shared" si="0"/>
        <v>58480</v>
      </c>
      <c r="H6" s="353">
        <f t="shared" si="0"/>
        <v>41090</v>
      </c>
      <c r="I6" s="353">
        <f t="shared" si="0"/>
        <v>10</v>
      </c>
      <c r="J6" s="244">
        <f t="shared" si="0"/>
        <v>530164.95499999996</v>
      </c>
      <c r="K6" s="245">
        <f t="shared" si="0"/>
        <v>0</v>
      </c>
      <c r="L6" s="245">
        <f t="shared" si="0"/>
        <v>441219.06099999999</v>
      </c>
      <c r="M6" s="245">
        <f t="shared" si="0"/>
        <v>48249.424999999996</v>
      </c>
      <c r="N6" s="245">
        <f t="shared" si="0"/>
        <v>40689.345000000001</v>
      </c>
      <c r="O6" s="245">
        <f t="shared" si="0"/>
        <v>7.1239999999999997</v>
      </c>
      <c r="P6" s="641"/>
      <c r="Q6" s="641"/>
      <c r="R6" s="641"/>
      <c r="S6" s="641"/>
      <c r="T6" s="641"/>
      <c r="U6" s="641"/>
      <c r="V6" s="641"/>
    </row>
    <row r="7" spans="1:22" ht="12.75" thickBot="1">
      <c r="A7" s="815"/>
      <c r="B7" s="246" t="s">
        <v>12</v>
      </c>
      <c r="C7" s="246" t="s">
        <v>13</v>
      </c>
      <c r="D7" s="354">
        <f>SUM(E7:I7)</f>
        <v>0</v>
      </c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247">
        <f>SUM(K7:O7)</f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  <c r="P7" s="642"/>
      <c r="Q7" s="642"/>
      <c r="R7" s="642"/>
      <c r="S7" s="642"/>
      <c r="T7" s="642"/>
      <c r="U7" s="642"/>
      <c r="V7" s="642"/>
    </row>
    <row r="8" spans="1:22" ht="12.75" thickBot="1">
      <c r="A8" s="815"/>
      <c r="B8" s="246" t="s">
        <v>14</v>
      </c>
      <c r="C8" s="246" t="s">
        <v>15</v>
      </c>
      <c r="D8" s="354">
        <f>SUM(E8:I8)</f>
        <v>271810</v>
      </c>
      <c r="E8" s="474"/>
      <c r="F8" s="474">
        <v>215720</v>
      </c>
      <c r="G8" s="474">
        <v>18280</v>
      </c>
      <c r="H8" s="474">
        <v>37800</v>
      </c>
      <c r="I8" s="474">
        <v>10</v>
      </c>
      <c r="J8" s="247">
        <f>SUM(K8:O8)</f>
        <v>221193.89200000002</v>
      </c>
      <c r="K8" s="333"/>
      <c r="L8" s="333">
        <v>167092.00200000001</v>
      </c>
      <c r="M8" s="333">
        <v>16304.358</v>
      </c>
      <c r="N8" s="333">
        <v>37790.408000000003</v>
      </c>
      <c r="O8" s="333">
        <v>7.1239999999999997</v>
      </c>
      <c r="P8" s="643"/>
      <c r="Q8" s="643"/>
      <c r="R8" s="643"/>
      <c r="S8" s="643"/>
      <c r="T8" s="643"/>
      <c r="U8" s="643"/>
      <c r="V8" s="643"/>
    </row>
    <row r="9" spans="1:22" ht="12.75" thickBot="1">
      <c r="A9" s="815"/>
      <c r="B9" s="246" t="s">
        <v>16</v>
      </c>
      <c r="C9" s="246" t="s">
        <v>17</v>
      </c>
      <c r="D9" s="354">
        <f t="shared" ref="D9:O9" si="1">SUM(D10:D11)</f>
        <v>16150</v>
      </c>
      <c r="E9" s="355">
        <f t="shared" si="1"/>
        <v>0</v>
      </c>
      <c r="F9" s="355">
        <f t="shared" si="1"/>
        <v>16150</v>
      </c>
      <c r="G9" s="355">
        <f t="shared" si="1"/>
        <v>0</v>
      </c>
      <c r="H9" s="355">
        <f t="shared" si="1"/>
        <v>0</v>
      </c>
      <c r="I9" s="355">
        <f t="shared" si="1"/>
        <v>0</v>
      </c>
      <c r="J9" s="247">
        <f t="shared" si="1"/>
        <v>18953.892</v>
      </c>
      <c r="K9" s="248">
        <f t="shared" si="1"/>
        <v>0</v>
      </c>
      <c r="L9" s="248">
        <f t="shared" si="1"/>
        <v>18953.892</v>
      </c>
      <c r="M9" s="248">
        <f t="shared" si="1"/>
        <v>0</v>
      </c>
      <c r="N9" s="248">
        <f t="shared" si="1"/>
        <v>0</v>
      </c>
      <c r="O9" s="248">
        <f t="shared" si="1"/>
        <v>0</v>
      </c>
      <c r="P9" s="642"/>
      <c r="Q9" s="642"/>
      <c r="R9" s="642"/>
      <c r="S9" s="642"/>
      <c r="T9" s="642"/>
      <c r="U9" s="642"/>
      <c r="V9" s="642"/>
    </row>
    <row r="10" spans="1:22" ht="12.75" thickBot="1">
      <c r="A10" s="815"/>
      <c r="B10" s="249" t="s">
        <v>18</v>
      </c>
      <c r="C10" s="250" t="s">
        <v>192</v>
      </c>
      <c r="D10" s="357">
        <f>SUM(F10:I10)</f>
        <v>15350</v>
      </c>
      <c r="E10" s="358"/>
      <c r="F10" s="475">
        <v>15350</v>
      </c>
      <c r="G10" s="358"/>
      <c r="H10" s="358"/>
      <c r="I10" s="358"/>
      <c r="J10" s="251">
        <f>SUM(L10:O10)</f>
        <v>17789.982</v>
      </c>
      <c r="K10" s="252"/>
      <c r="L10" s="289">
        <v>17789.982</v>
      </c>
      <c r="M10" s="252"/>
      <c r="N10" s="252"/>
      <c r="O10" s="252"/>
      <c r="P10" s="644"/>
      <c r="Q10" s="644"/>
      <c r="R10" s="644"/>
      <c r="S10" s="644"/>
      <c r="T10" s="644"/>
      <c r="U10" s="644"/>
      <c r="V10" s="644"/>
    </row>
    <row r="11" spans="1:22" ht="12.75" thickBot="1">
      <c r="A11" s="815"/>
      <c r="B11" s="249" t="s">
        <v>19</v>
      </c>
      <c r="C11" s="250" t="s">
        <v>191</v>
      </c>
      <c r="D11" s="357">
        <f>SUM(F11:I11)</f>
        <v>800</v>
      </c>
      <c r="E11" s="358"/>
      <c r="F11" s="475">
        <v>800</v>
      </c>
      <c r="G11" s="358"/>
      <c r="H11" s="358"/>
      <c r="I11" s="358"/>
      <c r="J11" s="251">
        <f>SUM(L11:O11)</f>
        <v>1163.9100000000001</v>
      </c>
      <c r="K11" s="252"/>
      <c r="L11" s="289">
        <v>1163.9100000000001</v>
      </c>
      <c r="M11" s="252"/>
      <c r="N11" s="252"/>
      <c r="O11" s="252"/>
      <c r="P11" s="644"/>
      <c r="Q11" s="644"/>
      <c r="R11" s="644"/>
      <c r="S11" s="644"/>
      <c r="T11" s="644"/>
      <c r="U11" s="644"/>
      <c r="V11" s="644"/>
    </row>
    <row r="12" spans="1:22" ht="12.75" thickBot="1">
      <c r="A12" s="815"/>
      <c r="B12" s="246" t="s">
        <v>20</v>
      </c>
      <c r="C12" s="246" t="s">
        <v>21</v>
      </c>
      <c r="D12" s="354">
        <f>SUM(E12:I12)</f>
        <v>237490</v>
      </c>
      <c r="E12" s="355"/>
      <c r="F12" s="474">
        <f>197400-2000</f>
        <v>195400</v>
      </c>
      <c r="G12" s="474">
        <f>36800+2000</f>
        <v>38800</v>
      </c>
      <c r="H12" s="474">
        <v>3290</v>
      </c>
      <c r="I12" s="355"/>
      <c r="J12" s="247">
        <f>SUM(K12:O12)</f>
        <v>289782.97099999996</v>
      </c>
      <c r="K12" s="248"/>
      <c r="L12" s="333">
        <v>255173.16699999999</v>
      </c>
      <c r="M12" s="333">
        <v>31710.866999999998</v>
      </c>
      <c r="N12" s="333">
        <v>2898.9369999999999</v>
      </c>
      <c r="O12" s="248"/>
      <c r="P12" s="642"/>
      <c r="Q12" s="642"/>
      <c r="R12" s="642"/>
      <c r="S12" s="642"/>
      <c r="T12" s="642"/>
      <c r="U12" s="642"/>
      <c r="V12" s="642"/>
    </row>
    <row r="13" spans="1:22" ht="12.75" thickBot="1">
      <c r="A13" s="815"/>
      <c r="B13" s="249" t="s">
        <v>22</v>
      </c>
      <c r="C13" s="250" t="s">
        <v>23</v>
      </c>
      <c r="D13" s="354">
        <f>SUM(E13:I13)</f>
        <v>0</v>
      </c>
      <c r="E13" s="355"/>
      <c r="F13" s="626"/>
      <c r="G13" s="626"/>
      <c r="H13" s="626"/>
      <c r="I13" s="358"/>
      <c r="J13" s="247">
        <f>SUM(K13:O13)</f>
        <v>0</v>
      </c>
      <c r="K13" s="248"/>
      <c r="L13" s="252"/>
      <c r="M13" s="252"/>
      <c r="N13" s="358"/>
      <c r="O13" s="252"/>
      <c r="P13" s="644"/>
      <c r="Q13" s="644"/>
      <c r="R13" s="644"/>
      <c r="S13" s="644"/>
      <c r="T13" s="644"/>
      <c r="U13" s="644"/>
      <c r="V13" s="644"/>
    </row>
    <row r="14" spans="1:22" ht="12.75" thickBot="1">
      <c r="A14" s="815"/>
      <c r="B14" s="246" t="s">
        <v>24</v>
      </c>
      <c r="C14" s="246" t="s">
        <v>25</v>
      </c>
      <c r="D14" s="354">
        <f>SUM(E14:I14)</f>
        <v>1400</v>
      </c>
      <c r="E14" s="355"/>
      <c r="F14" s="355"/>
      <c r="G14" s="356">
        <v>1400</v>
      </c>
      <c r="H14" s="355"/>
      <c r="I14" s="355"/>
      <c r="J14" s="247">
        <f>SUM(K14:O14)</f>
        <v>234.19999999999976</v>
      </c>
      <c r="K14" s="248"/>
      <c r="L14" s="248"/>
      <c r="M14" s="333">
        <v>234.19999999999976</v>
      </c>
      <c r="N14" s="248"/>
      <c r="O14" s="248"/>
      <c r="P14" s="642"/>
      <c r="Q14" s="642"/>
      <c r="R14" s="642"/>
      <c r="S14" s="642"/>
      <c r="T14" s="642"/>
      <c r="U14" s="642"/>
      <c r="V14" s="642"/>
    </row>
    <row r="15" spans="1:22" ht="12.75" thickBot="1">
      <c r="A15" s="815"/>
      <c r="B15" s="243" t="s">
        <v>26</v>
      </c>
      <c r="C15" s="243" t="s">
        <v>27</v>
      </c>
      <c r="D15" s="352">
        <f t="shared" ref="D15:O15" si="2">SUM(D16:D18,D21)</f>
        <v>135240</v>
      </c>
      <c r="E15" s="359">
        <f t="shared" si="2"/>
        <v>0</v>
      </c>
      <c r="F15" s="628">
        <f t="shared" si="2"/>
        <v>134720</v>
      </c>
      <c r="G15" s="628">
        <f t="shared" si="2"/>
        <v>420</v>
      </c>
      <c r="H15" s="628">
        <f t="shared" si="2"/>
        <v>50</v>
      </c>
      <c r="I15" s="628">
        <f t="shared" si="2"/>
        <v>50</v>
      </c>
      <c r="J15" s="244">
        <f t="shared" si="2"/>
        <v>134208.00200000001</v>
      </c>
      <c r="K15" s="253">
        <f t="shared" si="2"/>
        <v>0</v>
      </c>
      <c r="L15" s="253">
        <f t="shared" si="2"/>
        <v>133841.245</v>
      </c>
      <c r="M15" s="253">
        <f t="shared" si="2"/>
        <v>268.65800000000002</v>
      </c>
      <c r="N15" s="253">
        <f t="shared" si="2"/>
        <v>48.390999999999998</v>
      </c>
      <c r="O15" s="253">
        <f t="shared" si="2"/>
        <v>49.707999999999998</v>
      </c>
      <c r="P15" s="645"/>
      <c r="Q15" s="645"/>
      <c r="R15" s="645"/>
      <c r="S15" s="645"/>
      <c r="T15" s="645"/>
      <c r="U15" s="645"/>
      <c r="V15" s="645"/>
    </row>
    <row r="16" spans="1:22" ht="12.75" thickBot="1">
      <c r="A16" s="815"/>
      <c r="B16" s="246" t="s">
        <v>28</v>
      </c>
      <c r="C16" s="246" t="s">
        <v>29</v>
      </c>
      <c r="D16" s="354">
        <f>SUM(E16:I16)</f>
        <v>0</v>
      </c>
      <c r="E16" s="355">
        <v>0</v>
      </c>
      <c r="F16" s="627">
        <v>0</v>
      </c>
      <c r="G16" s="627">
        <v>0</v>
      </c>
      <c r="H16" s="627">
        <v>0</v>
      </c>
      <c r="I16" s="627">
        <v>0</v>
      </c>
      <c r="J16" s="247">
        <f>SUM(K16:O16)</f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642"/>
      <c r="Q16" s="642"/>
      <c r="R16" s="642"/>
      <c r="S16" s="642"/>
      <c r="T16" s="642"/>
      <c r="U16" s="642"/>
      <c r="V16" s="642"/>
    </row>
    <row r="17" spans="1:22" ht="12.75" thickBot="1">
      <c r="A17" s="815"/>
      <c r="B17" s="246" t="s">
        <v>30</v>
      </c>
      <c r="C17" s="246" t="s">
        <v>31</v>
      </c>
      <c r="D17" s="354">
        <f>SUM(E17:I17)</f>
        <v>129580</v>
      </c>
      <c r="E17" s="356"/>
      <c r="F17" s="474">
        <v>129480</v>
      </c>
      <c r="G17" s="474">
        <v>0</v>
      </c>
      <c r="H17" s="474">
        <v>50</v>
      </c>
      <c r="I17" s="474">
        <v>50</v>
      </c>
      <c r="J17" s="247">
        <f>SUM(K17:O17)</f>
        <v>129721.30500000001</v>
      </c>
      <c r="K17" s="333"/>
      <c r="L17" s="333">
        <v>129622.933</v>
      </c>
      <c r="M17" s="333">
        <v>0.27300000000000002</v>
      </c>
      <c r="N17" s="333">
        <v>48.390999999999998</v>
      </c>
      <c r="O17" s="333">
        <v>49.707999999999998</v>
      </c>
      <c r="P17" s="643"/>
      <c r="Q17" s="643"/>
      <c r="R17" s="643"/>
      <c r="S17" s="643"/>
      <c r="T17" s="643"/>
      <c r="U17" s="643"/>
      <c r="V17" s="643"/>
    </row>
    <row r="18" spans="1:22" ht="12.75" thickBot="1">
      <c r="A18" s="815"/>
      <c r="B18" s="246" t="s">
        <v>32</v>
      </c>
      <c r="C18" s="246" t="s">
        <v>33</v>
      </c>
      <c r="D18" s="354">
        <f t="shared" ref="D18:O18" si="3">SUM(D19:D20)</f>
        <v>2380</v>
      </c>
      <c r="E18" s="355">
        <f t="shared" si="3"/>
        <v>0</v>
      </c>
      <c r="F18" s="627">
        <f t="shared" si="3"/>
        <v>2200</v>
      </c>
      <c r="G18" s="627">
        <f t="shared" si="3"/>
        <v>180</v>
      </c>
      <c r="H18" s="627">
        <f t="shared" si="3"/>
        <v>0</v>
      </c>
      <c r="I18" s="627">
        <f t="shared" si="3"/>
        <v>0</v>
      </c>
      <c r="J18" s="247">
        <f t="shared" si="3"/>
        <v>2969.8770000000004</v>
      </c>
      <c r="K18" s="248">
        <f t="shared" si="3"/>
        <v>0</v>
      </c>
      <c r="L18" s="248">
        <f t="shared" si="3"/>
        <v>2794.7160000000003</v>
      </c>
      <c r="M18" s="248">
        <f t="shared" si="3"/>
        <v>175.161</v>
      </c>
      <c r="N18" s="248">
        <f t="shared" si="3"/>
        <v>0</v>
      </c>
      <c r="O18" s="248">
        <f t="shared" si="3"/>
        <v>0</v>
      </c>
      <c r="P18" s="642"/>
      <c r="Q18" s="642"/>
      <c r="R18" s="642"/>
      <c r="S18" s="642"/>
      <c r="T18" s="642"/>
      <c r="U18" s="642"/>
      <c r="V18" s="642"/>
    </row>
    <row r="19" spans="1:22" ht="12.75" thickBot="1">
      <c r="A19" s="815"/>
      <c r="B19" s="249" t="s">
        <v>34</v>
      </c>
      <c r="C19" s="250" t="s">
        <v>192</v>
      </c>
      <c r="D19" s="357">
        <f t="shared" ref="D19:D29" si="4">SUM(E19:I19)</f>
        <v>0</v>
      </c>
      <c r="E19" s="358"/>
      <c r="F19" s="475">
        <v>0</v>
      </c>
      <c r="G19" s="626"/>
      <c r="H19" s="626"/>
      <c r="I19" s="626"/>
      <c r="J19" s="251">
        <f t="shared" ref="J19:J29" si="5">SUM(K19:O19)</f>
        <v>91.355999999999995</v>
      </c>
      <c r="K19" s="252"/>
      <c r="L19" s="289">
        <v>91.355999999999995</v>
      </c>
      <c r="M19" s="252"/>
      <c r="N19" s="252"/>
      <c r="O19" s="252"/>
      <c r="P19" s="644"/>
      <c r="Q19" s="644"/>
      <c r="R19" s="644"/>
      <c r="S19" s="644"/>
      <c r="T19" s="644"/>
      <c r="U19" s="644"/>
      <c r="V19" s="644"/>
    </row>
    <row r="20" spans="1:22" ht="12.75" thickBot="1">
      <c r="A20" s="815"/>
      <c r="B20" s="254" t="s">
        <v>35</v>
      </c>
      <c r="C20" s="250" t="s">
        <v>191</v>
      </c>
      <c r="D20" s="357">
        <f t="shared" si="4"/>
        <v>2380</v>
      </c>
      <c r="E20" s="358"/>
      <c r="F20" s="475">
        <v>2200</v>
      </c>
      <c r="G20" s="475">
        <v>180</v>
      </c>
      <c r="H20" s="626"/>
      <c r="I20" s="626"/>
      <c r="J20" s="251">
        <f t="shared" si="5"/>
        <v>2878.5210000000002</v>
      </c>
      <c r="K20" s="252"/>
      <c r="L20" s="289">
        <v>2703.36</v>
      </c>
      <c r="M20" s="289">
        <v>175.161</v>
      </c>
      <c r="N20" s="252"/>
      <c r="O20" s="252"/>
      <c r="P20" s="644"/>
      <c r="Q20" s="644"/>
      <c r="R20" s="644"/>
      <c r="S20" s="644"/>
      <c r="T20" s="644"/>
      <c r="U20" s="644"/>
      <c r="V20" s="644"/>
    </row>
    <row r="21" spans="1:22" ht="12.75" thickBot="1">
      <c r="A21" s="815"/>
      <c r="B21" s="246" t="s">
        <v>36</v>
      </c>
      <c r="C21" s="246" t="s">
        <v>37</v>
      </c>
      <c r="D21" s="354">
        <f t="shared" si="4"/>
        <v>3280</v>
      </c>
      <c r="E21" s="355"/>
      <c r="F21" s="474">
        <v>3040</v>
      </c>
      <c r="G21" s="474">
        <v>240</v>
      </c>
      <c r="H21" s="627"/>
      <c r="I21" s="627"/>
      <c r="J21" s="247">
        <f t="shared" si="5"/>
        <v>1516.82</v>
      </c>
      <c r="K21" s="248"/>
      <c r="L21" s="333">
        <v>1423.596</v>
      </c>
      <c r="M21" s="333">
        <v>93.224000000000004</v>
      </c>
      <c r="N21" s="248"/>
      <c r="O21" s="248"/>
      <c r="P21" s="642"/>
      <c r="Q21" s="642"/>
      <c r="R21" s="642"/>
      <c r="S21" s="642"/>
      <c r="T21" s="642"/>
      <c r="U21" s="642"/>
      <c r="V21" s="642"/>
    </row>
    <row r="22" spans="1:22" s="89" customFormat="1" ht="12.75" thickBot="1">
      <c r="A22" s="815"/>
      <c r="B22" s="255" t="s">
        <v>38</v>
      </c>
      <c r="C22" s="255" t="s">
        <v>39</v>
      </c>
      <c r="D22" s="361">
        <f t="shared" si="4"/>
        <v>391610</v>
      </c>
      <c r="E22" s="361">
        <f>SUM(E23:E25,E28,E29)</f>
        <v>0</v>
      </c>
      <c r="F22" s="361">
        <f>SUM(F23:F25,F28,F29)</f>
        <v>292550</v>
      </c>
      <c r="G22" s="361">
        <f>SUM(G23:G25,G28,G29)</f>
        <v>58060</v>
      </c>
      <c r="H22" s="361">
        <f>SUM(H23:H25,H28,H29)</f>
        <v>41040</v>
      </c>
      <c r="I22" s="361">
        <f>SUM(I23:I25,I28,I29)</f>
        <v>-40</v>
      </c>
      <c r="J22" s="361">
        <f t="shared" si="5"/>
        <v>395956.95300000004</v>
      </c>
      <c r="K22" s="256">
        <f>SUM(K23:K25,K28,K29)</f>
        <v>0</v>
      </c>
      <c r="L22" s="256">
        <f>SUM(L23:L25,L28,L29)</f>
        <v>307377.81599999999</v>
      </c>
      <c r="M22" s="256">
        <f>SUM(M23:M25,M28,M29)</f>
        <v>47980.767</v>
      </c>
      <c r="N22" s="256">
        <f>SUM(N23:N25,N28,N29)</f>
        <v>40640.953999999998</v>
      </c>
      <c r="O22" s="256">
        <f>SUM(O23:O25,O28,O29)</f>
        <v>-42.583999999999996</v>
      </c>
      <c r="P22" s="646"/>
      <c r="Q22" s="646"/>
      <c r="R22" s="646"/>
      <c r="S22" s="646"/>
      <c r="T22" s="646"/>
      <c r="U22" s="646"/>
      <c r="V22" s="646"/>
    </row>
    <row r="23" spans="1:22" ht="12.75" thickBot="1">
      <c r="A23" s="815"/>
      <c r="B23" s="246" t="s">
        <v>40</v>
      </c>
      <c r="C23" s="246" t="s">
        <v>41</v>
      </c>
      <c r="D23" s="354">
        <f t="shared" si="4"/>
        <v>0</v>
      </c>
      <c r="E23" s="354">
        <f t="shared" ref="E23:I28" si="6">E7-E16</f>
        <v>0</v>
      </c>
      <c r="F23" s="354">
        <f t="shared" si="6"/>
        <v>0</v>
      </c>
      <c r="G23" s="354">
        <f t="shared" si="6"/>
        <v>0</v>
      </c>
      <c r="H23" s="354">
        <f t="shared" si="6"/>
        <v>0</v>
      </c>
      <c r="I23" s="354">
        <f t="shared" si="6"/>
        <v>0</v>
      </c>
      <c r="J23" s="247">
        <f t="shared" si="5"/>
        <v>0</v>
      </c>
      <c r="K23" s="247">
        <f t="shared" ref="K23:O28" si="7">K7-K16</f>
        <v>0</v>
      </c>
      <c r="L23" s="247">
        <f t="shared" si="7"/>
        <v>0</v>
      </c>
      <c r="M23" s="247">
        <f t="shared" si="7"/>
        <v>0</v>
      </c>
      <c r="N23" s="247">
        <f t="shared" si="7"/>
        <v>0</v>
      </c>
      <c r="O23" s="247">
        <f t="shared" si="7"/>
        <v>0</v>
      </c>
      <c r="P23" s="647"/>
      <c r="Q23" s="647"/>
      <c r="R23" s="647"/>
      <c r="S23" s="647"/>
      <c r="T23" s="647"/>
      <c r="U23" s="647"/>
      <c r="V23" s="647"/>
    </row>
    <row r="24" spans="1:22" ht="12.75" thickBot="1">
      <c r="A24" s="815"/>
      <c r="B24" s="246" t="s">
        <v>42</v>
      </c>
      <c r="C24" s="246" t="s">
        <v>43</v>
      </c>
      <c r="D24" s="354">
        <f t="shared" si="4"/>
        <v>142230</v>
      </c>
      <c r="E24" s="354">
        <f t="shared" si="6"/>
        <v>0</v>
      </c>
      <c r="F24" s="354">
        <f t="shared" si="6"/>
        <v>86240</v>
      </c>
      <c r="G24" s="354">
        <f t="shared" si="6"/>
        <v>18280</v>
      </c>
      <c r="H24" s="354">
        <f t="shared" si="6"/>
        <v>37750</v>
      </c>
      <c r="I24" s="354">
        <f t="shared" si="6"/>
        <v>-40</v>
      </c>
      <c r="J24" s="247">
        <f t="shared" si="5"/>
        <v>91472.587</v>
      </c>
      <c r="K24" s="247">
        <f t="shared" si="7"/>
        <v>0</v>
      </c>
      <c r="L24" s="247">
        <f t="shared" si="7"/>
        <v>37469.069000000003</v>
      </c>
      <c r="M24" s="247">
        <f t="shared" si="7"/>
        <v>16304.085000000001</v>
      </c>
      <c r="N24" s="247">
        <f t="shared" si="7"/>
        <v>37742.017</v>
      </c>
      <c r="O24" s="247">
        <f t="shared" si="7"/>
        <v>-42.583999999999996</v>
      </c>
      <c r="P24" s="647"/>
      <c r="Q24" s="647"/>
      <c r="R24" s="647"/>
      <c r="S24" s="647"/>
      <c r="T24" s="647"/>
      <c r="U24" s="647"/>
      <c r="V24" s="647"/>
    </row>
    <row r="25" spans="1:22" ht="12.75" thickBot="1">
      <c r="A25" s="815"/>
      <c r="B25" s="246" t="s">
        <v>44</v>
      </c>
      <c r="C25" s="246" t="s">
        <v>45</v>
      </c>
      <c r="D25" s="354">
        <f t="shared" si="4"/>
        <v>13770</v>
      </c>
      <c r="E25" s="354">
        <f t="shared" si="6"/>
        <v>0</v>
      </c>
      <c r="F25" s="354">
        <f t="shared" si="6"/>
        <v>13950</v>
      </c>
      <c r="G25" s="354">
        <f t="shared" si="6"/>
        <v>-180</v>
      </c>
      <c r="H25" s="354">
        <f t="shared" si="6"/>
        <v>0</v>
      </c>
      <c r="I25" s="354">
        <f t="shared" si="6"/>
        <v>0</v>
      </c>
      <c r="J25" s="247">
        <f t="shared" si="5"/>
        <v>15984.014999999999</v>
      </c>
      <c r="K25" s="247">
        <f t="shared" si="7"/>
        <v>0</v>
      </c>
      <c r="L25" s="247">
        <f t="shared" si="7"/>
        <v>16159.175999999999</v>
      </c>
      <c r="M25" s="247">
        <f t="shared" si="7"/>
        <v>-175.161</v>
      </c>
      <c r="N25" s="247">
        <f t="shared" si="7"/>
        <v>0</v>
      </c>
      <c r="O25" s="247">
        <f t="shared" si="7"/>
        <v>0</v>
      </c>
      <c r="P25" s="647"/>
      <c r="Q25" s="647"/>
      <c r="R25" s="647"/>
      <c r="S25" s="647"/>
      <c r="T25" s="647"/>
      <c r="U25" s="647"/>
      <c r="V25" s="647"/>
    </row>
    <row r="26" spans="1:22" ht="12.75" thickBot="1">
      <c r="A26" s="815"/>
      <c r="B26" s="249" t="s">
        <v>46</v>
      </c>
      <c r="C26" s="250" t="s">
        <v>192</v>
      </c>
      <c r="D26" s="354">
        <f t="shared" si="4"/>
        <v>15350</v>
      </c>
      <c r="E26" s="357">
        <f t="shared" si="6"/>
        <v>0</v>
      </c>
      <c r="F26" s="357">
        <f t="shared" si="6"/>
        <v>15350</v>
      </c>
      <c r="G26" s="357">
        <f t="shared" si="6"/>
        <v>0</v>
      </c>
      <c r="H26" s="357">
        <f t="shared" si="6"/>
        <v>0</v>
      </c>
      <c r="I26" s="357">
        <f t="shared" si="6"/>
        <v>0</v>
      </c>
      <c r="J26" s="247">
        <f t="shared" si="5"/>
        <v>17698.626</v>
      </c>
      <c r="K26" s="251">
        <f t="shared" si="7"/>
        <v>0</v>
      </c>
      <c r="L26" s="251">
        <f t="shared" si="7"/>
        <v>17698.626</v>
      </c>
      <c r="M26" s="251">
        <f t="shared" si="7"/>
        <v>0</v>
      </c>
      <c r="N26" s="251">
        <f t="shared" si="7"/>
        <v>0</v>
      </c>
      <c r="O26" s="251">
        <f t="shared" si="7"/>
        <v>0</v>
      </c>
      <c r="P26" s="648"/>
      <c r="Q26" s="648"/>
      <c r="R26" s="648"/>
      <c r="S26" s="648"/>
      <c r="T26" s="648"/>
      <c r="U26" s="648"/>
      <c r="V26" s="648"/>
    </row>
    <row r="27" spans="1:22" ht="12.75" thickBot="1">
      <c r="A27" s="815"/>
      <c r="B27" s="249" t="s">
        <v>47</v>
      </c>
      <c r="C27" s="250" t="s">
        <v>191</v>
      </c>
      <c r="D27" s="354">
        <f t="shared" si="4"/>
        <v>-1580</v>
      </c>
      <c r="E27" s="357">
        <f t="shared" si="6"/>
        <v>0</v>
      </c>
      <c r="F27" s="357">
        <f t="shared" si="6"/>
        <v>-1400</v>
      </c>
      <c r="G27" s="357">
        <f t="shared" si="6"/>
        <v>-180</v>
      </c>
      <c r="H27" s="357">
        <f t="shared" si="6"/>
        <v>0</v>
      </c>
      <c r="I27" s="357">
        <f t="shared" si="6"/>
        <v>0</v>
      </c>
      <c r="J27" s="247">
        <f t="shared" si="5"/>
        <v>-1714.6110000000001</v>
      </c>
      <c r="K27" s="251">
        <f t="shared" si="7"/>
        <v>0</v>
      </c>
      <c r="L27" s="251">
        <f t="shared" si="7"/>
        <v>-1539.45</v>
      </c>
      <c r="M27" s="251">
        <f t="shared" si="7"/>
        <v>-175.161</v>
      </c>
      <c r="N27" s="251">
        <f t="shared" si="7"/>
        <v>0</v>
      </c>
      <c r="O27" s="251">
        <f t="shared" si="7"/>
        <v>0</v>
      </c>
      <c r="P27" s="648"/>
      <c r="Q27" s="648"/>
      <c r="R27" s="648"/>
      <c r="S27" s="648"/>
      <c r="T27" s="648"/>
      <c r="U27" s="648"/>
      <c r="V27" s="648"/>
    </row>
    <row r="28" spans="1:22" ht="12.75" thickBot="1">
      <c r="A28" s="815"/>
      <c r="B28" s="246" t="s">
        <v>48</v>
      </c>
      <c r="C28" s="246" t="s">
        <v>49</v>
      </c>
      <c r="D28" s="354">
        <f t="shared" si="4"/>
        <v>234210</v>
      </c>
      <c r="E28" s="354">
        <f t="shared" si="6"/>
        <v>0</v>
      </c>
      <c r="F28" s="354">
        <f t="shared" si="6"/>
        <v>192360</v>
      </c>
      <c r="G28" s="354">
        <f t="shared" si="6"/>
        <v>38560</v>
      </c>
      <c r="H28" s="354">
        <f t="shared" si="6"/>
        <v>3290</v>
      </c>
      <c r="I28" s="354">
        <f t="shared" si="6"/>
        <v>0</v>
      </c>
      <c r="J28" s="247">
        <f t="shared" si="5"/>
        <v>288266.15099999995</v>
      </c>
      <c r="K28" s="247">
        <f t="shared" si="7"/>
        <v>0</v>
      </c>
      <c r="L28" s="247">
        <f t="shared" si="7"/>
        <v>253749.571</v>
      </c>
      <c r="M28" s="247">
        <f t="shared" si="7"/>
        <v>31617.643</v>
      </c>
      <c r="N28" s="247">
        <f t="shared" si="7"/>
        <v>2898.9369999999999</v>
      </c>
      <c r="O28" s="247">
        <f t="shared" si="7"/>
        <v>0</v>
      </c>
      <c r="P28" s="647"/>
      <c r="Q28" s="647"/>
      <c r="R28" s="647"/>
      <c r="S28" s="647"/>
      <c r="T28" s="647"/>
      <c r="U28" s="647"/>
      <c r="V28" s="647"/>
    </row>
    <row r="29" spans="1:22" ht="12.75" thickBot="1">
      <c r="A29" s="816"/>
      <c r="B29" s="246" t="s">
        <v>50</v>
      </c>
      <c r="C29" s="246" t="s">
        <v>25</v>
      </c>
      <c r="D29" s="354">
        <f t="shared" si="4"/>
        <v>1400</v>
      </c>
      <c r="E29" s="354">
        <f>E14</f>
        <v>0</v>
      </c>
      <c r="F29" s="354">
        <f>F14</f>
        <v>0</v>
      </c>
      <c r="G29" s="354">
        <f>G14</f>
        <v>1400</v>
      </c>
      <c r="H29" s="354">
        <f>H14</f>
        <v>0</v>
      </c>
      <c r="I29" s="354">
        <f>I14</f>
        <v>0</v>
      </c>
      <c r="J29" s="247">
        <f t="shared" si="5"/>
        <v>234.19999999999976</v>
      </c>
      <c r="K29" s="247">
        <f>K14</f>
        <v>0</v>
      </c>
      <c r="L29" s="247">
        <f>L14</f>
        <v>0</v>
      </c>
      <c r="M29" s="247">
        <f>M14</f>
        <v>234.19999999999976</v>
      </c>
      <c r="N29" s="247">
        <f>N14</f>
        <v>0</v>
      </c>
      <c r="O29" s="247">
        <f>O14</f>
        <v>0</v>
      </c>
      <c r="P29" s="647"/>
      <c r="Q29" s="647"/>
      <c r="R29" s="647"/>
      <c r="S29" s="647"/>
      <c r="T29" s="647"/>
      <c r="U29" s="647"/>
      <c r="V29" s="647"/>
    </row>
    <row r="30" spans="1:22" ht="13.5" thickTop="1" thickBot="1">
      <c r="A30" s="814" t="s">
        <v>51</v>
      </c>
      <c r="B30" s="257" t="s">
        <v>52</v>
      </c>
      <c r="C30" s="257" t="s">
        <v>53</v>
      </c>
      <c r="D30" s="362">
        <f>SUM(F30:I30)</f>
        <v>467569</v>
      </c>
      <c r="E30" s="362"/>
      <c r="F30" s="362">
        <f>SUM(F31:F33)</f>
        <v>0</v>
      </c>
      <c r="G30" s="362">
        <f>SUM(G31:G33)</f>
        <v>60669</v>
      </c>
      <c r="H30" s="362">
        <f>SUM(H31:H33)</f>
        <v>248080</v>
      </c>
      <c r="I30" s="362">
        <f>SUM(I31:I33)</f>
        <v>158820</v>
      </c>
      <c r="J30" s="258">
        <f>SUM(L30:O30)</f>
        <v>488943.69759999996</v>
      </c>
      <c r="K30" s="258"/>
      <c r="L30" s="258">
        <f>SUM(L31:L33)</f>
        <v>0</v>
      </c>
      <c r="M30" s="258">
        <f>SUM(M31:M33)</f>
        <v>65046.94</v>
      </c>
      <c r="N30" s="258">
        <f>SUM(N31:N33)</f>
        <v>253061.75459999999</v>
      </c>
      <c r="O30" s="258">
        <f>SUM(O31:O33)</f>
        <v>170835.003</v>
      </c>
      <c r="P30" s="649"/>
      <c r="Q30" s="649"/>
      <c r="R30" s="649"/>
      <c r="S30" s="649"/>
      <c r="T30" s="649"/>
      <c r="U30" s="649"/>
      <c r="V30" s="649"/>
    </row>
    <row r="31" spans="1:22" ht="12.75" thickBot="1">
      <c r="A31" s="815"/>
      <c r="B31" s="246" t="s">
        <v>54</v>
      </c>
      <c r="C31" s="246" t="s">
        <v>55</v>
      </c>
      <c r="D31" s="354">
        <f t="shared" ref="D31:D43" si="8">SUM(E31:I31)</f>
        <v>202230</v>
      </c>
      <c r="E31" s="363"/>
      <c r="F31" s="364"/>
      <c r="G31" s="354">
        <f>F36</f>
        <v>60669</v>
      </c>
      <c r="H31" s="354">
        <f>F37</f>
        <v>141561</v>
      </c>
      <c r="I31" s="363"/>
      <c r="J31" s="247">
        <f t="shared" ref="J31:J43" si="9">SUM(K31:O31)</f>
        <v>216823.1336</v>
      </c>
      <c r="K31" s="259"/>
      <c r="L31" s="260"/>
      <c r="M31" s="247">
        <f>L36</f>
        <v>65046.94</v>
      </c>
      <c r="N31" s="247">
        <f>L37</f>
        <v>151776.1936</v>
      </c>
      <c r="O31" s="259"/>
      <c r="P31" s="650"/>
      <c r="Q31" s="650"/>
      <c r="R31" s="650"/>
      <c r="S31" s="650"/>
      <c r="T31" s="650"/>
      <c r="U31" s="650"/>
      <c r="V31" s="650"/>
    </row>
    <row r="32" spans="1:22" ht="12.75" thickBot="1">
      <c r="A32" s="815"/>
      <c r="B32" s="246" t="s">
        <v>56</v>
      </c>
      <c r="C32" s="246" t="s">
        <v>57</v>
      </c>
      <c r="D32" s="354">
        <f t="shared" si="8"/>
        <v>106519</v>
      </c>
      <c r="E32" s="363"/>
      <c r="F32" s="363"/>
      <c r="G32" s="363"/>
      <c r="H32" s="354">
        <f>G37</f>
        <v>106519</v>
      </c>
      <c r="I32" s="364">
        <f>G43</f>
        <v>0</v>
      </c>
      <c r="J32" s="247">
        <f t="shared" si="9"/>
        <v>101285.561</v>
      </c>
      <c r="K32" s="259"/>
      <c r="L32" s="259"/>
      <c r="M32" s="259"/>
      <c r="N32" s="247">
        <f>M37</f>
        <v>101285.561</v>
      </c>
      <c r="O32" s="260">
        <f>M43</f>
        <v>0</v>
      </c>
      <c r="P32" s="651"/>
      <c r="Q32" s="651"/>
      <c r="R32" s="651"/>
      <c r="S32" s="651"/>
      <c r="T32" s="651"/>
      <c r="U32" s="651"/>
      <c r="V32" s="651"/>
    </row>
    <row r="33" spans="1:26" ht="12.75" thickBot="1">
      <c r="A33" s="815"/>
      <c r="B33" s="246" t="s">
        <v>58</v>
      </c>
      <c r="C33" s="246" t="s">
        <v>59</v>
      </c>
      <c r="D33" s="354">
        <f t="shared" si="8"/>
        <v>158820</v>
      </c>
      <c r="E33" s="363"/>
      <c r="F33" s="363"/>
      <c r="G33" s="363"/>
      <c r="H33" s="363"/>
      <c r="I33" s="354">
        <f>G38+H38</f>
        <v>158820</v>
      </c>
      <c r="J33" s="247">
        <f t="shared" si="9"/>
        <v>170835.003</v>
      </c>
      <c r="K33" s="259"/>
      <c r="L33" s="259"/>
      <c r="M33" s="259"/>
      <c r="N33" s="259"/>
      <c r="O33" s="247">
        <f>M38+N38</f>
        <v>170835.003</v>
      </c>
      <c r="P33" s="647"/>
      <c r="Q33" s="647"/>
      <c r="R33" s="647"/>
      <c r="S33" s="647"/>
      <c r="T33" s="647"/>
      <c r="U33" s="647"/>
      <c r="V33" s="647"/>
    </row>
    <row r="34" spans="1:26" ht="12.75" thickBot="1">
      <c r="A34" s="815"/>
      <c r="B34" s="257" t="s">
        <v>60</v>
      </c>
      <c r="C34" s="257" t="s">
        <v>61</v>
      </c>
      <c r="D34" s="362">
        <f t="shared" si="8"/>
        <v>467569</v>
      </c>
      <c r="E34" s="362"/>
      <c r="F34" s="362">
        <f>SUM(F35:F38)</f>
        <v>202230</v>
      </c>
      <c r="G34" s="362">
        <f>SUM(G35:G38)</f>
        <v>106519</v>
      </c>
      <c r="H34" s="362">
        <f>SUM(H35:H38)</f>
        <v>158820</v>
      </c>
      <c r="I34" s="285">
        <f>SUM(I35:I38)</f>
        <v>0</v>
      </c>
      <c r="J34" s="258">
        <f t="shared" si="9"/>
        <v>488943.69759999996</v>
      </c>
      <c r="K34" s="258"/>
      <c r="L34" s="258">
        <f>SUM(L35:L38)</f>
        <v>216823.1336</v>
      </c>
      <c r="M34" s="258">
        <f>SUM(M35:M38)</f>
        <v>101285.561</v>
      </c>
      <c r="N34" s="258">
        <f>SUM(N35:N38)</f>
        <v>170835.003</v>
      </c>
      <c r="O34" s="261">
        <f>SUM(O35:O38)</f>
        <v>0</v>
      </c>
      <c r="P34" s="556"/>
      <c r="Q34" s="556"/>
      <c r="R34" s="556"/>
      <c r="S34" s="556"/>
      <c r="T34" s="556"/>
      <c r="U34" s="556"/>
      <c r="V34" s="556"/>
    </row>
    <row r="35" spans="1:26" ht="12.75" thickBot="1">
      <c r="A35" s="815"/>
      <c r="B35" s="246" t="s">
        <v>62</v>
      </c>
      <c r="C35" s="246" t="s">
        <v>63</v>
      </c>
      <c r="D35" s="354">
        <f t="shared" si="8"/>
        <v>0</v>
      </c>
      <c r="E35" s="364"/>
      <c r="F35" s="363"/>
      <c r="G35" s="363"/>
      <c r="H35" s="363"/>
      <c r="I35" s="363"/>
      <c r="J35" s="247">
        <f t="shared" si="9"/>
        <v>0</v>
      </c>
      <c r="K35" s="260"/>
      <c r="L35" s="259"/>
      <c r="M35" s="259"/>
      <c r="N35" s="259"/>
      <c r="O35" s="259"/>
      <c r="P35" s="650"/>
      <c r="Q35" s="650"/>
      <c r="R35" s="650"/>
      <c r="S35" s="650"/>
      <c r="T35" s="650"/>
      <c r="U35" s="650"/>
      <c r="V35" s="650"/>
    </row>
    <row r="36" spans="1:26" ht="12.75" thickBot="1">
      <c r="A36" s="815"/>
      <c r="B36" s="246" t="s">
        <v>64</v>
      </c>
      <c r="C36" s="246" t="s">
        <v>65</v>
      </c>
      <c r="D36" s="354">
        <f t="shared" si="8"/>
        <v>60669</v>
      </c>
      <c r="E36" s="354"/>
      <c r="F36" s="333">
        <v>60669</v>
      </c>
      <c r="G36" s="259"/>
      <c r="H36" s="259"/>
      <c r="I36" s="363"/>
      <c r="J36" s="247">
        <f t="shared" si="9"/>
        <v>65046.94</v>
      </c>
      <c r="K36" s="247"/>
      <c r="L36" s="333">
        <v>65046.94</v>
      </c>
      <c r="M36" s="259"/>
      <c r="N36" s="259"/>
      <c r="O36" s="259"/>
      <c r="P36" s="650"/>
      <c r="Q36" s="650"/>
      <c r="R36" s="650"/>
      <c r="S36" s="650"/>
      <c r="T36" s="650"/>
      <c r="U36" s="650"/>
      <c r="V36" s="650"/>
      <c r="X36" s="333">
        <f>(X22-X46-X151)*0.3</f>
        <v>0</v>
      </c>
      <c r="Y36" s="259"/>
      <c r="Z36" s="259"/>
    </row>
    <row r="37" spans="1:26" ht="12.75" thickBot="1">
      <c r="A37" s="815"/>
      <c r="B37" s="246" t="s">
        <v>66</v>
      </c>
      <c r="C37" s="246" t="s">
        <v>67</v>
      </c>
      <c r="D37" s="354">
        <f t="shared" si="8"/>
        <v>248080</v>
      </c>
      <c r="E37" s="354"/>
      <c r="F37" s="333">
        <v>141561</v>
      </c>
      <c r="G37" s="333">
        <v>106519</v>
      </c>
      <c r="H37" s="259"/>
      <c r="I37" s="363"/>
      <c r="J37" s="247">
        <f t="shared" si="9"/>
        <v>253061.75459999999</v>
      </c>
      <c r="K37" s="247"/>
      <c r="L37" s="333">
        <v>151776.1936</v>
      </c>
      <c r="M37" s="333">
        <v>101285.561</v>
      </c>
      <c r="N37" s="259"/>
      <c r="O37" s="259"/>
      <c r="P37" s="650"/>
      <c r="Q37" s="650"/>
      <c r="R37" s="650"/>
      <c r="S37" s="650"/>
      <c r="T37" s="650"/>
      <c r="U37" s="650"/>
      <c r="V37" s="650"/>
      <c r="X37" s="333">
        <f>(X22-X46-X151)*0.7</f>
        <v>0</v>
      </c>
      <c r="Y37" s="333">
        <f>Y22+Y30-Y151-Y46</f>
        <v>0</v>
      </c>
      <c r="Z37" s="259"/>
    </row>
    <row r="38" spans="1:26" ht="12.75" thickBot="1">
      <c r="A38" s="815"/>
      <c r="B38" s="246" t="s">
        <v>68</v>
      </c>
      <c r="C38" s="246" t="s">
        <v>69</v>
      </c>
      <c r="D38" s="354">
        <f t="shared" si="8"/>
        <v>158820</v>
      </c>
      <c r="E38" s="363"/>
      <c r="F38" s="259"/>
      <c r="G38" s="260"/>
      <c r="H38" s="333">
        <v>158820</v>
      </c>
      <c r="I38" s="363"/>
      <c r="J38" s="247">
        <f t="shared" si="9"/>
        <v>170835.003</v>
      </c>
      <c r="K38" s="259"/>
      <c r="L38" s="259"/>
      <c r="M38" s="260"/>
      <c r="N38" s="333">
        <v>170835.003</v>
      </c>
      <c r="O38" s="259"/>
      <c r="P38" s="650"/>
      <c r="Q38" s="650"/>
      <c r="R38" s="650"/>
      <c r="S38" s="650"/>
      <c r="T38" s="650"/>
      <c r="U38" s="650"/>
      <c r="V38" s="650"/>
      <c r="X38" s="259"/>
      <c r="Y38" s="260"/>
      <c r="Z38" s="333">
        <f>Z22+Z30-Z151-Z46</f>
        <v>0</v>
      </c>
    </row>
    <row r="39" spans="1:26" s="89" customFormat="1" ht="12.75" thickBot="1">
      <c r="A39" s="815"/>
      <c r="B39" s="255" t="s">
        <v>70</v>
      </c>
      <c r="C39" s="255" t="s">
        <v>71</v>
      </c>
      <c r="D39" s="365">
        <f t="shared" si="8"/>
        <v>0</v>
      </c>
      <c r="E39" s="365"/>
      <c r="F39" s="365">
        <f>SUM(F40:F43)</f>
        <v>-202230</v>
      </c>
      <c r="G39" s="365">
        <f>SUM(G40:G43)</f>
        <v>-45850</v>
      </c>
      <c r="H39" s="365">
        <f>SUM(H40:H43)</f>
        <v>89260</v>
      </c>
      <c r="I39" s="365">
        <f>SUM(I40:I43)</f>
        <v>158820</v>
      </c>
      <c r="J39" s="262">
        <f t="shared" si="9"/>
        <v>0</v>
      </c>
      <c r="K39" s="262"/>
      <c r="L39" s="262">
        <f>SUM(L40:L43)</f>
        <v>-216823.1336</v>
      </c>
      <c r="M39" s="262">
        <f>SUM(M40:M43)</f>
        <v>-36238.620999999999</v>
      </c>
      <c r="N39" s="262">
        <f>SUM(N40:N43)</f>
        <v>82226.751599999989</v>
      </c>
      <c r="O39" s="262">
        <f>SUM(O40:O43)</f>
        <v>170835.003</v>
      </c>
      <c r="P39" s="652"/>
      <c r="Q39" s="652"/>
      <c r="R39" s="652"/>
      <c r="S39" s="652"/>
      <c r="T39" s="652"/>
      <c r="U39" s="652"/>
      <c r="V39" s="652"/>
    </row>
    <row r="40" spans="1:26" ht="12.75" thickBot="1">
      <c r="A40" s="815"/>
      <c r="B40" s="263" t="s">
        <v>72</v>
      </c>
      <c r="C40" s="263" t="s">
        <v>5</v>
      </c>
      <c r="D40" s="366">
        <f t="shared" si="8"/>
        <v>202230</v>
      </c>
      <c r="E40" s="367"/>
      <c r="F40" s="367">
        <f>F31-F35</f>
        <v>0</v>
      </c>
      <c r="G40" s="367">
        <f>G31-G35</f>
        <v>60669</v>
      </c>
      <c r="H40" s="367">
        <f>H31-H35</f>
        <v>141561</v>
      </c>
      <c r="I40" s="368"/>
      <c r="J40" s="264">
        <f t="shared" si="9"/>
        <v>216823.1336</v>
      </c>
      <c r="K40" s="265"/>
      <c r="L40" s="265">
        <f>L31-L35</f>
        <v>0</v>
      </c>
      <c r="M40" s="265">
        <f>M31-M35</f>
        <v>65046.94</v>
      </c>
      <c r="N40" s="265">
        <f>N31-N35</f>
        <v>151776.1936</v>
      </c>
      <c r="O40" s="266"/>
      <c r="P40" s="653"/>
      <c r="Q40" s="653"/>
      <c r="R40" s="653"/>
      <c r="S40" s="653"/>
      <c r="T40" s="653"/>
      <c r="U40" s="653"/>
      <c r="V40" s="653"/>
    </row>
    <row r="41" spans="1:26" ht="12.75" thickBot="1">
      <c r="A41" s="815"/>
      <c r="B41" s="263" t="s">
        <v>73</v>
      </c>
      <c r="C41" s="263" t="s">
        <v>74</v>
      </c>
      <c r="D41" s="366">
        <f t="shared" si="8"/>
        <v>45850</v>
      </c>
      <c r="E41" s="367">
        <f>E32-E36</f>
        <v>0</v>
      </c>
      <c r="F41" s="367">
        <f>F32-F36</f>
        <v>-60669</v>
      </c>
      <c r="G41" s="368"/>
      <c r="H41" s="367">
        <f>H32-H36</f>
        <v>106519</v>
      </c>
      <c r="I41" s="368"/>
      <c r="J41" s="264">
        <f t="shared" si="9"/>
        <v>36238.620999999999</v>
      </c>
      <c r="K41" s="265">
        <f>K32-K36</f>
        <v>0</v>
      </c>
      <c r="L41" s="265">
        <f>L32-L36</f>
        <v>-65046.94</v>
      </c>
      <c r="M41" s="266"/>
      <c r="N41" s="265">
        <f>N32-N36</f>
        <v>101285.561</v>
      </c>
      <c r="O41" s="266"/>
      <c r="P41" s="653"/>
      <c r="Q41" s="653"/>
      <c r="R41" s="653"/>
      <c r="S41" s="653"/>
      <c r="T41" s="653"/>
      <c r="U41" s="653"/>
      <c r="V41" s="653"/>
    </row>
    <row r="42" spans="1:26" ht="12.75" thickBot="1">
      <c r="A42" s="815"/>
      <c r="B42" s="263" t="s">
        <v>75</v>
      </c>
      <c r="C42" s="263" t="s">
        <v>76</v>
      </c>
      <c r="D42" s="366">
        <f t="shared" si="8"/>
        <v>-89260</v>
      </c>
      <c r="E42" s="367">
        <f>E33-E37</f>
        <v>0</v>
      </c>
      <c r="F42" s="367">
        <f>F33-F37</f>
        <v>-141561</v>
      </c>
      <c r="G42" s="367">
        <f>G33-G37</f>
        <v>-106519</v>
      </c>
      <c r="H42" s="368"/>
      <c r="I42" s="367">
        <f>I33-I37</f>
        <v>158820</v>
      </c>
      <c r="J42" s="264">
        <f t="shared" si="9"/>
        <v>-82226.751599999989</v>
      </c>
      <c r="K42" s="265">
        <f>K33-K37</f>
        <v>0</v>
      </c>
      <c r="L42" s="265">
        <f>L33-L37</f>
        <v>-151776.1936</v>
      </c>
      <c r="M42" s="265">
        <f>M33-M37</f>
        <v>-101285.561</v>
      </c>
      <c r="N42" s="266"/>
      <c r="O42" s="265">
        <f>O33-O37</f>
        <v>170835.003</v>
      </c>
      <c r="P42" s="654"/>
      <c r="Q42" s="654"/>
      <c r="R42" s="654"/>
      <c r="S42" s="654"/>
      <c r="T42" s="654"/>
      <c r="U42" s="654"/>
      <c r="V42" s="654"/>
    </row>
    <row r="43" spans="1:26" ht="12.75" thickBot="1">
      <c r="A43" s="816"/>
      <c r="B43" s="267" t="s">
        <v>77</v>
      </c>
      <c r="C43" s="267" t="s">
        <v>8</v>
      </c>
      <c r="D43" s="367">
        <f t="shared" si="8"/>
        <v>-158820</v>
      </c>
      <c r="E43" s="368"/>
      <c r="F43" s="368"/>
      <c r="G43" s="367"/>
      <c r="H43" s="367">
        <f>-H38</f>
        <v>-158820</v>
      </c>
      <c r="I43" s="368"/>
      <c r="J43" s="265">
        <f t="shared" si="9"/>
        <v>-170835.003</v>
      </c>
      <c r="K43" s="266"/>
      <c r="L43" s="266"/>
      <c r="M43" s="265"/>
      <c r="N43" s="265">
        <f>-N38</f>
        <v>-170835.003</v>
      </c>
      <c r="O43" s="266"/>
      <c r="P43" s="653"/>
      <c r="Q43" s="653"/>
      <c r="R43" s="653"/>
      <c r="S43" s="653"/>
      <c r="T43" s="653"/>
      <c r="U43" s="653"/>
      <c r="V43" s="653"/>
    </row>
    <row r="44" spans="1:26" ht="13.5" thickTop="1" thickBot="1">
      <c r="A44" s="90"/>
      <c r="B44" s="268" t="s">
        <v>78</v>
      </c>
      <c r="C44" s="268" t="s">
        <v>79</v>
      </c>
      <c r="D44" s="201">
        <f>D22</f>
        <v>391610</v>
      </c>
      <c r="E44" s="201">
        <f>E22+E30</f>
        <v>0</v>
      </c>
      <c r="F44" s="201">
        <f>F22+F30</f>
        <v>292550</v>
      </c>
      <c r="G44" s="201">
        <f>G22+G30</f>
        <v>118729</v>
      </c>
      <c r="H44" s="201">
        <f>H22+H30</f>
        <v>289120</v>
      </c>
      <c r="I44" s="201">
        <f>I22+I30</f>
        <v>158780</v>
      </c>
      <c r="J44" s="201">
        <f>J22</f>
        <v>395956.95300000004</v>
      </c>
      <c r="K44" s="201">
        <f>K22+K30</f>
        <v>0</v>
      </c>
      <c r="L44" s="201">
        <f>L22+L30</f>
        <v>307377.81599999999</v>
      </c>
      <c r="M44" s="201">
        <f>M22+M30</f>
        <v>113027.70699999999</v>
      </c>
      <c r="N44" s="201">
        <f>N22+N30</f>
        <v>293702.70860000001</v>
      </c>
      <c r="O44" s="201">
        <f>O22+O30</f>
        <v>170792.41899999999</v>
      </c>
      <c r="P44" s="549"/>
      <c r="Q44" s="549"/>
      <c r="R44" s="549"/>
      <c r="S44" s="549"/>
      <c r="T44" s="549"/>
      <c r="U44" s="549"/>
      <c r="V44" s="549"/>
    </row>
    <row r="45" spans="1:26" ht="13.5" thickTop="1" thickBot="1">
      <c r="A45" s="90"/>
      <c r="B45" s="269" t="s">
        <v>80</v>
      </c>
      <c r="C45" s="269" t="s">
        <v>81</v>
      </c>
      <c r="D45" s="203">
        <f>D44</f>
        <v>391610</v>
      </c>
      <c r="E45" s="203">
        <f>E143+E151+E34</f>
        <v>0</v>
      </c>
      <c r="F45" s="203">
        <f>F143+F151+F34-G49-H49-G73-H73-G78-H78-H54-H97-H109-G97-G102-H102-G109-G114-H114-G121-H121-G126-H126-G133-H133</f>
        <v>292550</v>
      </c>
      <c r="G45" s="203">
        <f>G143+G151+G34-H50-I50-H55-I55-H62-I62-H67-I67-H98-H74-H79-H86-H91-H103-H110-H115-H122-H127-H134</f>
        <v>114474.7</v>
      </c>
      <c r="H45" s="203">
        <f>H143+H151+H34-I51-I56-I63-I68-I75-I80-I87-I92-I99-I104-I111-I116-I123-I128</f>
        <v>262748.79999999999</v>
      </c>
      <c r="I45" s="203">
        <f>I151+I143</f>
        <v>157088.20000000001</v>
      </c>
      <c r="J45" s="203">
        <f>J44</f>
        <v>395956.95300000004</v>
      </c>
      <c r="K45" s="203">
        <f>K143+K151+K34</f>
        <v>0</v>
      </c>
      <c r="L45" s="203">
        <f>L143+L151+L34-M49-N49-M73-N73-M78-N78-N54-N97-N109-M97-M102-N102-M109-M114-N114-M121-N121-M126-N126-M133-N133</f>
        <v>307377.81599999993</v>
      </c>
      <c r="M45" s="203">
        <f>M143+M151+M34-N50-O50-N55-O55-N62-O62-N67-O67-N98-N74-N79-N86-N91-N103-N110-N115-N122-N127-N134</f>
        <v>109367.63800000001</v>
      </c>
      <c r="N45" s="203">
        <f>N143+N151+N34-O51-O56-O63-O68-O75-O80-O87-O92-O99-O104-O111-O116-O123-O128</f>
        <v>268006.59860000003</v>
      </c>
      <c r="O45" s="203">
        <f>O151+O143</f>
        <v>168508.84399999998</v>
      </c>
      <c r="P45" s="655"/>
      <c r="Q45" s="655"/>
      <c r="R45" s="655"/>
      <c r="S45" s="655"/>
      <c r="T45" s="655"/>
      <c r="U45" s="655"/>
      <c r="V45" s="655"/>
    </row>
    <row r="46" spans="1:26" ht="13.5" thickTop="1" thickBot="1">
      <c r="A46" s="814" t="s">
        <v>82</v>
      </c>
      <c r="B46" s="243" t="s">
        <v>83</v>
      </c>
      <c r="C46" s="243" t="s">
        <v>84</v>
      </c>
      <c r="D46" s="181">
        <f>SUM(E46:I46)</f>
        <v>303970</v>
      </c>
      <c r="E46" s="322">
        <f>E47+E59+E71+E83+E95</f>
        <v>0</v>
      </c>
      <c r="F46" s="322">
        <f>F47+F59+F71+F83+F95+F107+F119+F131</f>
        <v>75110</v>
      </c>
      <c r="G46" s="322">
        <f>G47+G59+G71+G83+G95+G107+G119+G131</f>
        <v>5010</v>
      </c>
      <c r="H46" s="322">
        <f>H47+H59+H71+H83+H95+H107+H119+H131</f>
        <v>99600</v>
      </c>
      <c r="I46" s="322">
        <f>I47+I59+I71+I83+I95+I107+I119+I131</f>
        <v>124250</v>
      </c>
      <c r="J46" s="181">
        <f>SUM(K46:O46)</f>
        <v>300731.29800000001</v>
      </c>
      <c r="K46" s="322">
        <f>K47+K59+K71+K83+K95</f>
        <v>0</v>
      </c>
      <c r="L46" s="322">
        <f>L47+L59+L71+L83+L95+L107+L119+L131</f>
        <v>74768.868000000002</v>
      </c>
      <c r="M46" s="322">
        <f>M47+M59+M71+M83+M95+M107+M119+M131</f>
        <v>4915.848</v>
      </c>
      <c r="N46" s="322">
        <f>N47+N59+N71+N83+N95+N107+N119+N131</f>
        <v>92149.366000000009</v>
      </c>
      <c r="O46" s="322">
        <f>O47+O59+O71+O83+O95+O107+O119+O131</f>
        <v>128897.21600000001</v>
      </c>
      <c r="P46" s="656"/>
      <c r="Q46" s="656"/>
      <c r="R46" s="656"/>
      <c r="S46" s="656"/>
      <c r="T46" s="656"/>
      <c r="U46" s="656"/>
      <c r="V46" s="656"/>
    </row>
    <row r="47" spans="1:26" s="85" customFormat="1" ht="12.75" thickBot="1">
      <c r="A47" s="815"/>
      <c r="B47" s="270" t="s">
        <v>85</v>
      </c>
      <c r="C47" s="271" t="s">
        <v>86</v>
      </c>
      <c r="D47" s="369">
        <f t="shared" ref="D47:D58" si="10">SUM(E47:I47)</f>
        <v>216210</v>
      </c>
      <c r="E47" s="478"/>
      <c r="F47" s="478">
        <f>16080-H49-H54</f>
        <v>680</v>
      </c>
      <c r="G47" s="478">
        <f>3090-H50</f>
        <v>1190</v>
      </c>
      <c r="H47" s="479">
        <f>73420+H49+H50+H54</f>
        <v>90720</v>
      </c>
      <c r="I47" s="478">
        <v>123620</v>
      </c>
      <c r="J47" s="590">
        <f t="shared" ref="J47:J58" si="11">SUM(K47:O47)</f>
        <v>216424.69800000003</v>
      </c>
      <c r="K47" s="273"/>
      <c r="L47" s="273">
        <v>953.23900000000049</v>
      </c>
      <c r="M47" s="273">
        <v>1255.779</v>
      </c>
      <c r="N47" s="273">
        <v>86068.775000000009</v>
      </c>
      <c r="O47" s="273">
        <v>128146.90500000001</v>
      </c>
      <c r="P47" s="657"/>
      <c r="Q47" s="657"/>
      <c r="R47" s="657"/>
      <c r="S47" s="657"/>
      <c r="T47" s="657"/>
      <c r="U47" s="657"/>
      <c r="V47" s="657"/>
    </row>
    <row r="48" spans="1:26" s="91" customFormat="1" ht="12.75" thickBot="1">
      <c r="A48" s="815"/>
      <c r="B48" s="263" t="s">
        <v>87</v>
      </c>
      <c r="C48" s="263" t="s">
        <v>88</v>
      </c>
      <c r="D48" s="367">
        <f t="shared" si="10"/>
        <v>0</v>
      </c>
      <c r="E48" s="367"/>
      <c r="F48" s="367"/>
      <c r="G48" s="367"/>
      <c r="H48" s="367"/>
      <c r="I48" s="367"/>
      <c r="J48" s="265">
        <f t="shared" si="11"/>
        <v>0</v>
      </c>
      <c r="K48" s="265"/>
      <c r="L48" s="265"/>
      <c r="M48" s="265"/>
      <c r="N48" s="265"/>
      <c r="O48" s="265"/>
      <c r="P48" s="654"/>
      <c r="Q48" s="654"/>
      <c r="R48" s="654"/>
      <c r="S48" s="654"/>
      <c r="T48" s="654"/>
      <c r="U48" s="654"/>
      <c r="V48" s="654"/>
    </row>
    <row r="49" spans="1:22" s="91" customFormat="1" ht="12.75" thickBot="1">
      <c r="A49" s="815"/>
      <c r="B49" s="275"/>
      <c r="C49" s="276" t="s">
        <v>89</v>
      </c>
      <c r="D49" s="371">
        <f t="shared" si="10"/>
        <v>14000</v>
      </c>
      <c r="E49" s="372"/>
      <c r="F49" s="372"/>
      <c r="G49" s="371"/>
      <c r="H49" s="373">
        <v>14000</v>
      </c>
      <c r="I49" s="372"/>
      <c r="J49" s="277">
        <f t="shared" si="11"/>
        <v>17697.325000000001</v>
      </c>
      <c r="K49" s="278"/>
      <c r="L49" s="278"/>
      <c r="M49" s="277"/>
      <c r="N49" s="277">
        <v>17697.325000000001</v>
      </c>
      <c r="O49" s="278"/>
      <c r="P49" s="658"/>
      <c r="Q49" s="658"/>
      <c r="R49" s="658"/>
      <c r="S49" s="658"/>
      <c r="T49" s="658"/>
      <c r="U49" s="658"/>
      <c r="V49" s="658"/>
    </row>
    <row r="50" spans="1:22" s="91" customFormat="1" ht="12.75" thickBot="1">
      <c r="A50" s="815"/>
      <c r="B50" s="275"/>
      <c r="C50" s="276" t="s">
        <v>90</v>
      </c>
      <c r="D50" s="371">
        <f t="shared" si="10"/>
        <v>1900</v>
      </c>
      <c r="E50" s="372"/>
      <c r="F50" s="372"/>
      <c r="G50" s="372"/>
      <c r="H50" s="459">
        <v>1900</v>
      </c>
      <c r="I50" s="371"/>
      <c r="J50" s="277">
        <f t="shared" si="11"/>
        <v>737.654</v>
      </c>
      <c r="K50" s="278"/>
      <c r="L50" s="278"/>
      <c r="M50" s="278"/>
      <c r="N50" s="277">
        <v>737.654</v>
      </c>
      <c r="O50" s="277"/>
      <c r="P50" s="659"/>
      <c r="Q50" s="659"/>
      <c r="R50" s="659"/>
      <c r="S50" s="659"/>
      <c r="T50" s="659"/>
      <c r="U50" s="659"/>
      <c r="V50" s="659"/>
    </row>
    <row r="51" spans="1:22" s="91" customFormat="1" ht="12.75" thickBot="1">
      <c r="A51" s="815"/>
      <c r="B51" s="275"/>
      <c r="C51" s="276" t="s">
        <v>91</v>
      </c>
      <c r="D51" s="371">
        <f t="shared" si="10"/>
        <v>0</v>
      </c>
      <c r="E51" s="372"/>
      <c r="F51" s="372"/>
      <c r="G51" s="372"/>
      <c r="H51" s="372"/>
      <c r="I51" s="371"/>
      <c r="J51" s="277">
        <f t="shared" si="11"/>
        <v>0</v>
      </c>
      <c r="K51" s="278"/>
      <c r="L51" s="278"/>
      <c r="M51" s="278"/>
      <c r="N51" s="278"/>
      <c r="O51" s="277"/>
      <c r="P51" s="659"/>
      <c r="Q51" s="659"/>
      <c r="R51" s="659"/>
      <c r="S51" s="659"/>
      <c r="T51" s="659"/>
      <c r="U51" s="659"/>
      <c r="V51" s="659"/>
    </row>
    <row r="52" spans="1:22" s="91" customFormat="1" ht="12.75" thickBot="1">
      <c r="A52" s="815"/>
      <c r="B52" s="263" t="s">
        <v>92</v>
      </c>
      <c r="C52" s="263" t="s">
        <v>93</v>
      </c>
      <c r="D52" s="367">
        <f t="shared" si="10"/>
        <v>0</v>
      </c>
      <c r="E52" s="367"/>
      <c r="F52" s="384"/>
      <c r="G52" s="384"/>
      <c r="H52" s="384"/>
      <c r="I52" s="384"/>
      <c r="J52" s="265">
        <f t="shared" si="11"/>
        <v>0</v>
      </c>
      <c r="K52" s="387"/>
      <c r="L52" s="385"/>
      <c r="M52" s="340"/>
      <c r="N52" s="385"/>
      <c r="O52" s="340"/>
      <c r="P52" s="660"/>
      <c r="Q52" s="660"/>
      <c r="R52" s="660"/>
      <c r="S52" s="660"/>
      <c r="T52" s="660"/>
      <c r="U52" s="660"/>
      <c r="V52" s="660"/>
    </row>
    <row r="53" spans="1:22" s="91" customFormat="1" ht="12.75" thickBot="1">
      <c r="A53" s="815"/>
      <c r="B53" s="263" t="s">
        <v>94</v>
      </c>
      <c r="C53" s="263" t="s">
        <v>95</v>
      </c>
      <c r="D53" s="374">
        <f t="shared" si="10"/>
        <v>25556</v>
      </c>
      <c r="E53" s="376"/>
      <c r="F53" s="376"/>
      <c r="G53" s="375">
        <v>1155</v>
      </c>
      <c r="H53" s="375">
        <f>1140+23261</f>
        <v>24401</v>
      </c>
      <c r="I53" s="384"/>
      <c r="J53" s="464">
        <f t="shared" si="11"/>
        <v>24040.562000000002</v>
      </c>
      <c r="K53" s="238"/>
      <c r="L53" s="603"/>
      <c r="M53" s="281">
        <v>1255.779</v>
      </c>
      <c r="N53" s="281">
        <v>22777.659000000003</v>
      </c>
      <c r="O53" s="281">
        <v>7.1239999999999997</v>
      </c>
      <c r="P53" s="661"/>
      <c r="Q53" s="661"/>
      <c r="R53" s="661"/>
      <c r="S53" s="661"/>
      <c r="T53" s="661"/>
      <c r="U53" s="661"/>
      <c r="V53" s="661"/>
    </row>
    <row r="54" spans="1:22" s="91" customFormat="1" ht="12.75" thickBot="1">
      <c r="A54" s="815"/>
      <c r="B54" s="275"/>
      <c r="C54" s="276" t="s">
        <v>89</v>
      </c>
      <c r="D54" s="371">
        <f t="shared" si="10"/>
        <v>1400</v>
      </c>
      <c r="E54" s="377"/>
      <c r="F54" s="377"/>
      <c r="G54" s="376"/>
      <c r="H54" s="375">
        <v>1400</v>
      </c>
      <c r="I54" s="372"/>
      <c r="J54" s="277">
        <f t="shared" si="11"/>
        <v>2586.96</v>
      </c>
      <c r="K54" s="282"/>
      <c r="L54" s="282"/>
      <c r="M54" s="238"/>
      <c r="N54" s="238">
        <v>2586.96</v>
      </c>
      <c r="O54" s="278"/>
      <c r="P54" s="658"/>
      <c r="Q54" s="658"/>
      <c r="R54" s="658"/>
      <c r="S54" s="658"/>
      <c r="T54" s="658"/>
      <c r="U54" s="658"/>
      <c r="V54" s="658"/>
    </row>
    <row r="55" spans="1:22" s="91" customFormat="1" ht="12.75" thickBot="1">
      <c r="A55" s="815"/>
      <c r="B55" s="275"/>
      <c r="C55" s="276" t="s">
        <v>90</v>
      </c>
      <c r="D55" s="371">
        <f t="shared" si="10"/>
        <v>0</v>
      </c>
      <c r="E55" s="372"/>
      <c r="F55" s="372"/>
      <c r="G55" s="372"/>
      <c r="H55" s="371"/>
      <c r="I55" s="371"/>
      <c r="J55" s="277">
        <f t="shared" si="11"/>
        <v>0</v>
      </c>
      <c r="K55" s="278"/>
      <c r="L55" s="278"/>
      <c r="M55" s="278"/>
      <c r="N55" s="277"/>
      <c r="O55" s="277"/>
      <c r="P55" s="659"/>
      <c r="Q55" s="659"/>
      <c r="R55" s="659"/>
      <c r="S55" s="659"/>
      <c r="T55" s="659"/>
      <c r="U55" s="659"/>
      <c r="V55" s="659"/>
    </row>
    <row r="56" spans="1:22" s="91" customFormat="1" ht="12.75" thickBot="1">
      <c r="A56" s="815"/>
      <c r="B56" s="275"/>
      <c r="C56" s="276" t="s">
        <v>91</v>
      </c>
      <c r="D56" s="371">
        <f t="shared" si="10"/>
        <v>0</v>
      </c>
      <c r="E56" s="372"/>
      <c r="F56" s="372"/>
      <c r="G56" s="372"/>
      <c r="H56" s="372"/>
      <c r="I56" s="371"/>
      <c r="J56" s="277">
        <f t="shared" si="11"/>
        <v>0</v>
      </c>
      <c r="K56" s="278"/>
      <c r="L56" s="278"/>
      <c r="M56" s="278"/>
      <c r="N56" s="278"/>
      <c r="O56" s="277"/>
      <c r="P56" s="659"/>
      <c r="Q56" s="659"/>
      <c r="R56" s="659"/>
      <c r="S56" s="659"/>
      <c r="T56" s="659"/>
      <c r="U56" s="659"/>
      <c r="V56" s="659"/>
    </row>
    <row r="57" spans="1:22" s="91" customFormat="1" ht="12.75" thickBot="1">
      <c r="A57" s="815"/>
      <c r="B57" s="263" t="s">
        <v>96</v>
      </c>
      <c r="C57" s="263" t="s">
        <v>97</v>
      </c>
      <c r="D57" s="367">
        <f t="shared" si="10"/>
        <v>1248</v>
      </c>
      <c r="E57" s="367"/>
      <c r="F57" s="367"/>
      <c r="G57" s="367"/>
      <c r="H57" s="329">
        <v>1248</v>
      </c>
      <c r="I57" s="367"/>
      <c r="J57" s="265">
        <f t="shared" si="11"/>
        <v>1164.2716399999999</v>
      </c>
      <c r="K57" s="265"/>
      <c r="L57" s="265"/>
      <c r="M57" s="265"/>
      <c r="N57" s="340">
        <v>1164.2716399999999</v>
      </c>
      <c r="O57" s="265"/>
      <c r="P57" s="654"/>
      <c r="Q57" s="654"/>
      <c r="R57" s="654"/>
      <c r="S57" s="654"/>
      <c r="T57" s="654"/>
      <c r="U57" s="654"/>
      <c r="V57" s="654"/>
    </row>
    <row r="58" spans="1:22" s="91" customFormat="1" ht="12.75" thickBot="1">
      <c r="A58" s="815"/>
      <c r="B58" s="263" t="s">
        <v>98</v>
      </c>
      <c r="C58" s="263" t="s">
        <v>99</v>
      </c>
      <c r="D58" s="367">
        <f t="shared" si="10"/>
        <v>0</v>
      </c>
      <c r="E58" s="367"/>
      <c r="F58" s="367"/>
      <c r="G58" s="367"/>
      <c r="H58" s="323"/>
      <c r="I58" s="367"/>
      <c r="J58" s="265">
        <f t="shared" si="11"/>
        <v>0</v>
      </c>
      <c r="K58" s="265"/>
      <c r="L58" s="265"/>
      <c r="M58" s="265"/>
      <c r="N58" s="283"/>
      <c r="O58" s="265"/>
      <c r="P58" s="654"/>
      <c r="Q58" s="654"/>
      <c r="R58" s="654"/>
      <c r="S58" s="654"/>
      <c r="T58" s="654"/>
      <c r="U58" s="654"/>
      <c r="V58" s="654"/>
    </row>
    <row r="59" spans="1:22" s="1" customFormat="1" ht="12.75" thickBot="1">
      <c r="A59" s="815"/>
      <c r="B59" s="204" t="s">
        <v>171</v>
      </c>
      <c r="C59" s="205" t="s">
        <v>190</v>
      </c>
      <c r="D59" s="325">
        <f t="shared" ref="D59:D70" si="12">SUM(E59:I59)</f>
        <v>3230</v>
      </c>
      <c r="E59" s="339"/>
      <c r="F59" s="339">
        <v>2210</v>
      </c>
      <c r="G59" s="284"/>
      <c r="H59" s="476">
        <v>390</v>
      </c>
      <c r="I59" s="476">
        <v>630</v>
      </c>
      <c r="J59" s="581">
        <f t="shared" ref="J59:J70" si="13">SUM(K59:O59)</f>
        <v>3050.4160000000002</v>
      </c>
      <c r="K59" s="339"/>
      <c r="L59" s="339">
        <v>1796.5719999999999</v>
      </c>
      <c r="M59" s="214"/>
      <c r="N59" s="339">
        <v>503.53300000000002</v>
      </c>
      <c r="O59" s="350">
        <v>750.31100000000004</v>
      </c>
      <c r="P59" s="662"/>
      <c r="Q59" s="662"/>
      <c r="R59" s="662"/>
      <c r="S59" s="662"/>
      <c r="T59" s="662"/>
      <c r="U59" s="662"/>
      <c r="V59" s="662"/>
    </row>
    <row r="60" spans="1:22" s="1" customFormat="1" ht="12.75" thickBot="1">
      <c r="A60" s="815"/>
      <c r="B60" s="182" t="s">
        <v>172</v>
      </c>
      <c r="C60" s="182" t="s">
        <v>88</v>
      </c>
      <c r="D60" s="324">
        <f t="shared" si="12"/>
        <v>0</v>
      </c>
      <c r="E60" s="324"/>
      <c r="F60" s="324"/>
      <c r="G60" s="324"/>
      <c r="H60" s="324"/>
      <c r="I60" s="324"/>
      <c r="J60" s="196">
        <f t="shared" si="13"/>
        <v>0</v>
      </c>
      <c r="K60" s="196"/>
      <c r="L60" s="196"/>
      <c r="M60" s="196"/>
      <c r="N60" s="196"/>
      <c r="O60" s="196"/>
      <c r="P60" s="547"/>
      <c r="Q60" s="547"/>
      <c r="R60" s="547"/>
      <c r="S60" s="547"/>
      <c r="T60" s="547"/>
      <c r="U60" s="547"/>
      <c r="V60" s="547"/>
    </row>
    <row r="61" spans="1:22" s="1" customFormat="1" ht="12.75" thickBot="1">
      <c r="A61" s="815"/>
      <c r="B61" s="207"/>
      <c r="C61" s="208" t="s">
        <v>89</v>
      </c>
      <c r="D61" s="326">
        <f t="shared" si="12"/>
        <v>0</v>
      </c>
      <c r="E61" s="327"/>
      <c r="F61" s="327"/>
      <c r="G61" s="326"/>
      <c r="H61" s="326"/>
      <c r="I61" s="327"/>
      <c r="J61" s="209">
        <f t="shared" si="13"/>
        <v>0</v>
      </c>
      <c r="K61" s="210"/>
      <c r="L61" s="210"/>
      <c r="M61" s="381"/>
      <c r="N61" s="381"/>
      <c r="O61" s="210"/>
      <c r="P61" s="551"/>
      <c r="Q61" s="551"/>
      <c r="R61" s="551"/>
      <c r="S61" s="551"/>
      <c r="T61" s="551"/>
      <c r="U61" s="551"/>
      <c r="V61" s="551"/>
    </row>
    <row r="62" spans="1:22" s="1" customFormat="1" ht="12.75" thickBot="1">
      <c r="A62" s="815"/>
      <c r="B62" s="207"/>
      <c r="C62" s="208" t="s">
        <v>90</v>
      </c>
      <c r="D62" s="326">
        <f t="shared" si="12"/>
        <v>0</v>
      </c>
      <c r="E62" s="327"/>
      <c r="F62" s="327"/>
      <c r="G62" s="327"/>
      <c r="H62" s="326"/>
      <c r="I62" s="326"/>
      <c r="J62" s="209">
        <f t="shared" si="13"/>
        <v>0</v>
      </c>
      <c r="K62" s="210"/>
      <c r="L62" s="210"/>
      <c r="M62" s="382"/>
      <c r="N62" s="381"/>
      <c r="O62" s="209"/>
      <c r="P62" s="554"/>
      <c r="Q62" s="554"/>
      <c r="R62" s="554"/>
      <c r="S62" s="554"/>
      <c r="T62" s="554"/>
      <c r="U62" s="554"/>
      <c r="V62" s="554"/>
    </row>
    <row r="63" spans="1:22" s="1" customFormat="1" ht="12.75" thickBot="1">
      <c r="A63" s="815"/>
      <c r="B63" s="207"/>
      <c r="C63" s="208" t="s">
        <v>91</v>
      </c>
      <c r="D63" s="326">
        <f t="shared" si="12"/>
        <v>0</v>
      </c>
      <c r="E63" s="327"/>
      <c r="F63" s="327"/>
      <c r="G63" s="327"/>
      <c r="H63" s="327"/>
      <c r="I63" s="326"/>
      <c r="J63" s="209">
        <f t="shared" si="13"/>
        <v>0</v>
      </c>
      <c r="K63" s="210"/>
      <c r="L63" s="210"/>
      <c r="M63" s="210"/>
      <c r="N63" s="210"/>
      <c r="O63" s="209"/>
      <c r="P63" s="554"/>
      <c r="Q63" s="554"/>
      <c r="R63" s="554"/>
      <c r="S63" s="554"/>
      <c r="T63" s="554"/>
      <c r="U63" s="554"/>
      <c r="V63" s="554"/>
    </row>
    <row r="64" spans="1:22" s="1" customFormat="1" ht="12.75" thickBot="1">
      <c r="A64" s="815"/>
      <c r="B64" s="182" t="s">
        <v>173</v>
      </c>
      <c r="C64" s="182" t="s">
        <v>93</v>
      </c>
      <c r="D64" s="324">
        <f t="shared" si="12"/>
        <v>0</v>
      </c>
      <c r="E64" s="184"/>
      <c r="F64" s="432"/>
      <c r="G64" s="328"/>
      <c r="H64" s="328"/>
      <c r="I64" s="324"/>
      <c r="J64" s="196">
        <f t="shared" si="13"/>
        <v>0</v>
      </c>
      <c r="K64" s="334"/>
      <c r="L64" s="334"/>
      <c r="M64" s="211"/>
      <c r="N64" s="211"/>
      <c r="O64" s="196"/>
      <c r="P64" s="547"/>
      <c r="Q64" s="547"/>
      <c r="R64" s="547"/>
      <c r="S64" s="547"/>
      <c r="T64" s="547"/>
      <c r="U64" s="547"/>
      <c r="V64" s="547"/>
    </row>
    <row r="65" spans="1:22" s="1" customFormat="1" ht="12.75" thickBot="1">
      <c r="A65" s="815"/>
      <c r="B65" s="182" t="s">
        <v>174</v>
      </c>
      <c r="C65" s="182" t="s">
        <v>95</v>
      </c>
      <c r="D65" s="330">
        <f t="shared" si="12"/>
        <v>0</v>
      </c>
      <c r="E65" s="378"/>
      <c r="F65" s="326"/>
      <c r="G65" s="326"/>
      <c r="H65" s="326"/>
      <c r="I65" s="324"/>
      <c r="J65" s="431">
        <f t="shared" si="13"/>
        <v>0</v>
      </c>
      <c r="K65" s="319"/>
      <c r="L65" s="209"/>
      <c r="M65" s="209"/>
      <c r="N65" s="209"/>
      <c r="O65" s="196"/>
      <c r="P65" s="547"/>
      <c r="Q65" s="547"/>
      <c r="R65" s="547"/>
      <c r="S65" s="547"/>
      <c r="T65" s="547"/>
      <c r="U65" s="547"/>
      <c r="V65" s="547"/>
    </row>
    <row r="66" spans="1:22" s="1" customFormat="1" ht="12.75" thickBot="1">
      <c r="A66" s="815"/>
      <c r="B66" s="207"/>
      <c r="C66" s="208" t="s">
        <v>89</v>
      </c>
      <c r="D66" s="326">
        <f t="shared" si="12"/>
        <v>0</v>
      </c>
      <c r="E66" s="327"/>
      <c r="F66" s="327"/>
      <c r="G66" s="326"/>
      <c r="H66" s="326"/>
      <c r="I66" s="327"/>
      <c r="J66" s="209">
        <f t="shared" si="13"/>
        <v>0</v>
      </c>
      <c r="K66" s="210"/>
      <c r="L66" s="210"/>
      <c r="M66" s="209"/>
      <c r="N66" s="209"/>
      <c r="O66" s="210"/>
      <c r="P66" s="551"/>
      <c r="Q66" s="551"/>
      <c r="R66" s="551"/>
      <c r="S66" s="551"/>
      <c r="T66" s="551"/>
      <c r="U66" s="551"/>
      <c r="V66" s="551"/>
    </row>
    <row r="67" spans="1:22" s="1" customFormat="1" ht="12.75" thickBot="1">
      <c r="A67" s="815"/>
      <c r="B67" s="207"/>
      <c r="C67" s="208" t="s">
        <v>90</v>
      </c>
      <c r="D67" s="326">
        <f t="shared" si="12"/>
        <v>0</v>
      </c>
      <c r="E67" s="327"/>
      <c r="F67" s="327"/>
      <c r="G67" s="327"/>
      <c r="H67" s="326"/>
      <c r="I67" s="326"/>
      <c r="J67" s="209">
        <f t="shared" si="13"/>
        <v>0</v>
      </c>
      <c r="K67" s="210"/>
      <c r="L67" s="210"/>
      <c r="M67" s="210"/>
      <c r="N67" s="209"/>
      <c r="O67" s="209"/>
      <c r="P67" s="554"/>
      <c r="Q67" s="554"/>
      <c r="R67" s="554"/>
      <c r="S67" s="554"/>
      <c r="T67" s="554"/>
      <c r="U67" s="554"/>
      <c r="V67" s="554"/>
    </row>
    <row r="68" spans="1:22" s="1" customFormat="1" ht="12.75" thickBot="1">
      <c r="A68" s="815"/>
      <c r="B68" s="207"/>
      <c r="C68" s="208" t="s">
        <v>91</v>
      </c>
      <c r="D68" s="326">
        <f t="shared" si="12"/>
        <v>0</v>
      </c>
      <c r="E68" s="327"/>
      <c r="F68" s="327"/>
      <c r="G68" s="327"/>
      <c r="H68" s="327"/>
      <c r="I68" s="326"/>
      <c r="J68" s="209">
        <f t="shared" si="13"/>
        <v>0</v>
      </c>
      <c r="K68" s="210"/>
      <c r="L68" s="210"/>
      <c r="M68" s="210"/>
      <c r="N68" s="210"/>
      <c r="O68" s="209"/>
      <c r="P68" s="554"/>
      <c r="Q68" s="554"/>
      <c r="R68" s="554"/>
      <c r="S68" s="554"/>
      <c r="T68" s="554"/>
      <c r="U68" s="554"/>
      <c r="V68" s="554"/>
    </row>
    <row r="69" spans="1:22" s="1" customFormat="1" ht="12.75" thickBot="1">
      <c r="A69" s="815"/>
      <c r="B69" s="182" t="s">
        <v>176</v>
      </c>
      <c r="C69" s="182" t="s">
        <v>97</v>
      </c>
      <c r="D69" s="324">
        <f t="shared" si="12"/>
        <v>0</v>
      </c>
      <c r="E69" s="324"/>
      <c r="F69" s="324"/>
      <c r="G69" s="324"/>
      <c r="H69" s="323"/>
      <c r="I69" s="324"/>
      <c r="J69" s="196">
        <f t="shared" si="13"/>
        <v>0</v>
      </c>
      <c r="K69" s="196"/>
      <c r="L69" s="196"/>
      <c r="M69" s="196"/>
      <c r="N69" s="185"/>
      <c r="O69" s="196"/>
      <c r="P69" s="547"/>
      <c r="Q69" s="547"/>
      <c r="R69" s="547"/>
      <c r="S69" s="547"/>
      <c r="T69" s="547"/>
      <c r="U69" s="547"/>
      <c r="V69" s="547"/>
    </row>
    <row r="70" spans="1:22" s="1" customFormat="1" ht="12.75" thickBot="1">
      <c r="A70" s="815"/>
      <c r="B70" s="182" t="s">
        <v>175</v>
      </c>
      <c r="C70" s="182" t="s">
        <v>99</v>
      </c>
      <c r="D70" s="324">
        <f t="shared" si="12"/>
        <v>0</v>
      </c>
      <c r="E70" s="324"/>
      <c r="F70" s="324"/>
      <c r="G70" s="324"/>
      <c r="H70" s="323"/>
      <c r="I70" s="324"/>
      <c r="J70" s="196">
        <f t="shared" si="13"/>
        <v>0</v>
      </c>
      <c r="K70" s="196"/>
      <c r="L70" s="196"/>
      <c r="M70" s="196"/>
      <c r="N70" s="185"/>
      <c r="O70" s="196"/>
      <c r="P70" s="547"/>
      <c r="Q70" s="547"/>
      <c r="R70" s="547"/>
      <c r="S70" s="547"/>
      <c r="T70" s="547"/>
      <c r="U70" s="547"/>
      <c r="V70" s="547"/>
    </row>
    <row r="71" spans="1:22" s="1" customFormat="1" ht="12.75" thickBot="1">
      <c r="A71" s="815"/>
      <c r="B71" s="204" t="s">
        <v>177</v>
      </c>
      <c r="C71" s="205" t="s">
        <v>203</v>
      </c>
      <c r="D71" s="325">
        <f t="shared" ref="D71:D82" si="14">SUM(E71:I71)</f>
        <v>6830</v>
      </c>
      <c r="E71" s="284"/>
      <c r="F71" s="284"/>
      <c r="G71" s="599">
        <v>3820</v>
      </c>
      <c r="H71" s="599">
        <v>3010</v>
      </c>
      <c r="I71" s="284"/>
      <c r="J71" s="581">
        <f t="shared" ref="J71:J94" si="15">SUM(K71:O71)</f>
        <v>6938.2260000000006</v>
      </c>
      <c r="K71" s="284"/>
      <c r="L71" s="284"/>
      <c r="M71" s="350">
        <v>3660.069</v>
      </c>
      <c r="N71" s="350">
        <v>3278.1570000000002</v>
      </c>
      <c r="O71" s="214"/>
      <c r="P71" s="553"/>
      <c r="Q71" s="553"/>
      <c r="R71" s="553"/>
      <c r="S71" s="553"/>
      <c r="T71" s="553"/>
      <c r="U71" s="553"/>
      <c r="V71" s="553"/>
    </row>
    <row r="72" spans="1:22" s="1" customFormat="1" ht="12.75" thickBot="1">
      <c r="A72" s="815"/>
      <c r="B72" s="182" t="s">
        <v>178</v>
      </c>
      <c r="C72" s="182" t="s">
        <v>88</v>
      </c>
      <c r="D72" s="324">
        <f t="shared" si="14"/>
        <v>0</v>
      </c>
      <c r="E72" s="324"/>
      <c r="F72" s="324"/>
      <c r="G72" s="324"/>
      <c r="H72" s="324"/>
      <c r="I72" s="324"/>
      <c r="J72" s="196">
        <f t="shared" si="15"/>
        <v>0</v>
      </c>
      <c r="K72" s="196"/>
      <c r="L72" s="196"/>
      <c r="M72" s="265"/>
      <c r="N72" s="265"/>
      <c r="O72" s="196"/>
      <c r="P72" s="547"/>
      <c r="Q72" s="547"/>
      <c r="R72" s="547"/>
      <c r="S72" s="547"/>
      <c r="T72" s="547"/>
      <c r="U72" s="547"/>
      <c r="V72" s="547"/>
    </row>
    <row r="73" spans="1:22" s="1" customFormat="1" ht="12.75" thickBot="1">
      <c r="A73" s="815"/>
      <c r="B73" s="207"/>
      <c r="C73" s="208" t="s">
        <v>89</v>
      </c>
      <c r="D73" s="326">
        <f t="shared" si="14"/>
        <v>2991</v>
      </c>
      <c r="E73" s="327"/>
      <c r="F73" s="327"/>
      <c r="G73" s="602">
        <f>G71-G78</f>
        <v>980</v>
      </c>
      <c r="H73" s="602">
        <f>H71-H78</f>
        <v>2011</v>
      </c>
      <c r="I73" s="327"/>
      <c r="J73" s="209">
        <f t="shared" si="15"/>
        <v>3043.6640000000002</v>
      </c>
      <c r="K73" s="210"/>
      <c r="L73" s="210"/>
      <c r="M73" s="602">
        <f t="shared" ref="M73:N73" si="16">M71-M78</f>
        <v>715.13400000000001</v>
      </c>
      <c r="N73" s="602">
        <f t="shared" si="16"/>
        <v>2328.5300000000002</v>
      </c>
      <c r="O73" s="210"/>
      <c r="P73" s="551"/>
      <c r="Q73" s="551"/>
      <c r="R73" s="551"/>
      <c r="S73" s="551"/>
      <c r="T73" s="551"/>
      <c r="U73" s="551"/>
      <c r="V73" s="551"/>
    </row>
    <row r="74" spans="1:22" s="1" customFormat="1" ht="12.75" thickBot="1">
      <c r="A74" s="815"/>
      <c r="B74" s="207"/>
      <c r="C74" s="208" t="s">
        <v>90</v>
      </c>
      <c r="D74" s="326">
        <f t="shared" si="14"/>
        <v>0</v>
      </c>
      <c r="E74" s="327"/>
      <c r="F74" s="327"/>
      <c r="G74" s="327"/>
      <c r="H74" s="326"/>
      <c r="I74" s="326"/>
      <c r="J74" s="209">
        <f t="shared" si="15"/>
        <v>0</v>
      </c>
      <c r="K74" s="210"/>
      <c r="L74" s="210"/>
      <c r="M74" s="210"/>
      <c r="N74" s="320"/>
      <c r="O74" s="209"/>
      <c r="P74" s="554"/>
      <c r="Q74" s="554"/>
      <c r="R74" s="554"/>
      <c r="S74" s="554"/>
      <c r="T74" s="554"/>
      <c r="U74" s="554"/>
      <c r="V74" s="554"/>
    </row>
    <row r="75" spans="1:22" s="1" customFormat="1" ht="12.75" thickBot="1">
      <c r="A75" s="815"/>
      <c r="B75" s="207"/>
      <c r="C75" s="208" t="s">
        <v>91</v>
      </c>
      <c r="D75" s="326">
        <f t="shared" si="14"/>
        <v>0</v>
      </c>
      <c r="E75" s="327"/>
      <c r="F75" s="327"/>
      <c r="G75" s="327"/>
      <c r="H75" s="327"/>
      <c r="I75" s="326"/>
      <c r="J75" s="209">
        <f t="shared" si="15"/>
        <v>0</v>
      </c>
      <c r="K75" s="210"/>
      <c r="L75" s="210"/>
      <c r="M75" s="210"/>
      <c r="N75" s="210"/>
      <c r="O75" s="209"/>
      <c r="P75" s="554"/>
      <c r="Q75" s="554"/>
      <c r="R75" s="554"/>
      <c r="S75" s="554"/>
      <c r="T75" s="554"/>
      <c r="U75" s="554"/>
      <c r="V75" s="554"/>
    </row>
    <row r="76" spans="1:22" s="1" customFormat="1" ht="12.75" thickBot="1">
      <c r="A76" s="815"/>
      <c r="B76" s="182" t="s">
        <v>179</v>
      </c>
      <c r="C76" s="182" t="s">
        <v>93</v>
      </c>
      <c r="D76" s="324">
        <f t="shared" si="14"/>
        <v>0</v>
      </c>
      <c r="E76" s="324"/>
      <c r="F76" s="324"/>
      <c r="G76" s="328"/>
      <c r="H76" s="328"/>
      <c r="I76" s="324"/>
      <c r="J76" s="196">
        <f t="shared" si="15"/>
        <v>0</v>
      </c>
      <c r="K76" s="196"/>
      <c r="L76" s="196"/>
      <c r="M76" s="211"/>
      <c r="N76" s="211"/>
      <c r="O76" s="196"/>
      <c r="P76" s="547"/>
      <c r="Q76" s="547"/>
      <c r="R76" s="547"/>
      <c r="S76" s="547"/>
      <c r="T76" s="547"/>
      <c r="U76" s="547"/>
      <c r="V76" s="547"/>
    </row>
    <row r="77" spans="1:22" s="1" customFormat="1" ht="12.75" thickBot="1">
      <c r="A77" s="815"/>
      <c r="B77" s="182" t="s">
        <v>180</v>
      </c>
      <c r="C77" s="182" t="s">
        <v>95</v>
      </c>
      <c r="D77" s="330">
        <f t="shared" si="14"/>
        <v>0</v>
      </c>
      <c r="E77" s="380"/>
      <c r="F77" s="326"/>
      <c r="G77" s="602"/>
      <c r="H77" s="602"/>
      <c r="I77" s="324"/>
      <c r="J77" s="213">
        <f t="shared" si="15"/>
        <v>0</v>
      </c>
      <c r="K77" s="383"/>
      <c r="L77" s="209"/>
      <c r="M77" s="602"/>
      <c r="N77" s="602"/>
      <c r="O77" s="196"/>
      <c r="P77" s="547"/>
      <c r="Q77" s="547"/>
      <c r="R77" s="547"/>
      <c r="S77" s="547"/>
      <c r="T77" s="547"/>
      <c r="U77" s="547"/>
      <c r="V77" s="547"/>
    </row>
    <row r="78" spans="1:22" s="1" customFormat="1" ht="12.75" thickBot="1">
      <c r="A78" s="815"/>
      <c r="B78" s="207"/>
      <c r="C78" s="208" t="s">
        <v>89</v>
      </c>
      <c r="D78" s="326">
        <f t="shared" si="14"/>
        <v>3839</v>
      </c>
      <c r="E78" s="327"/>
      <c r="F78" s="327"/>
      <c r="G78" s="326">
        <v>2840</v>
      </c>
      <c r="H78" s="326">
        <v>999</v>
      </c>
      <c r="I78" s="327"/>
      <c r="J78" s="209">
        <f t="shared" si="15"/>
        <v>3894.5619999999999</v>
      </c>
      <c r="K78" s="210"/>
      <c r="L78" s="210"/>
      <c r="M78" s="209">
        <v>2944.9349999999999</v>
      </c>
      <c r="N78" s="209">
        <v>949.62700000000007</v>
      </c>
      <c r="O78" s="210"/>
      <c r="P78" s="551"/>
      <c r="Q78" s="551"/>
      <c r="R78" s="551"/>
      <c r="S78" s="551"/>
      <c r="T78" s="551"/>
      <c r="U78" s="551"/>
      <c r="V78" s="551"/>
    </row>
    <row r="79" spans="1:22" s="1" customFormat="1" ht="12.75" thickBot="1">
      <c r="A79" s="815"/>
      <c r="B79" s="207"/>
      <c r="C79" s="208" t="s">
        <v>90</v>
      </c>
      <c r="D79" s="326">
        <f t="shared" si="14"/>
        <v>0</v>
      </c>
      <c r="E79" s="327"/>
      <c r="F79" s="327"/>
      <c r="G79" s="327"/>
      <c r="H79" s="326"/>
      <c r="I79" s="326"/>
      <c r="J79" s="209">
        <f t="shared" si="15"/>
        <v>0</v>
      </c>
      <c r="K79" s="210"/>
      <c r="L79" s="210"/>
      <c r="M79" s="210"/>
      <c r="N79" s="209"/>
      <c r="O79" s="209"/>
      <c r="P79" s="554"/>
      <c r="Q79" s="554"/>
      <c r="R79" s="554"/>
      <c r="S79" s="554"/>
      <c r="T79" s="554"/>
      <c r="U79" s="554"/>
      <c r="V79" s="554"/>
    </row>
    <row r="80" spans="1:22" s="1" customFormat="1" ht="12.75" thickBot="1">
      <c r="A80" s="815"/>
      <c r="B80" s="207"/>
      <c r="C80" s="208" t="s">
        <v>91</v>
      </c>
      <c r="D80" s="326">
        <f t="shared" si="14"/>
        <v>0</v>
      </c>
      <c r="E80" s="327"/>
      <c r="F80" s="327"/>
      <c r="G80" s="327"/>
      <c r="H80" s="327"/>
      <c r="I80" s="326"/>
      <c r="J80" s="209">
        <f t="shared" si="15"/>
        <v>0</v>
      </c>
      <c r="K80" s="210"/>
      <c r="L80" s="210"/>
      <c r="M80" s="210"/>
      <c r="N80" s="210"/>
      <c r="O80" s="209"/>
      <c r="P80" s="554"/>
      <c r="Q80" s="554"/>
      <c r="R80" s="554"/>
      <c r="S80" s="554"/>
      <c r="T80" s="554"/>
      <c r="U80" s="554"/>
      <c r="V80" s="554"/>
    </row>
    <row r="81" spans="1:22" s="1" customFormat="1" ht="12.75" thickBot="1">
      <c r="A81" s="815"/>
      <c r="B81" s="182" t="s">
        <v>181</v>
      </c>
      <c r="C81" s="182" t="s">
        <v>97</v>
      </c>
      <c r="D81" s="324">
        <f t="shared" si="14"/>
        <v>0</v>
      </c>
      <c r="E81" s="324"/>
      <c r="F81" s="324"/>
      <c r="G81" s="324"/>
      <c r="H81" s="323"/>
      <c r="I81" s="324"/>
      <c r="J81" s="196">
        <f t="shared" si="15"/>
        <v>0</v>
      </c>
      <c r="K81" s="196"/>
      <c r="L81" s="196"/>
      <c r="M81" s="196"/>
      <c r="N81" s="185"/>
      <c r="O81" s="196"/>
      <c r="P81" s="547"/>
      <c r="Q81" s="547"/>
      <c r="R81" s="547"/>
      <c r="S81" s="547"/>
      <c r="T81" s="547"/>
      <c r="U81" s="547"/>
      <c r="V81" s="547"/>
    </row>
    <row r="82" spans="1:22" s="1" customFormat="1" ht="12.75" thickBot="1">
      <c r="A82" s="815"/>
      <c r="B82" s="182" t="s">
        <v>182</v>
      </c>
      <c r="C82" s="182" t="s">
        <v>99</v>
      </c>
      <c r="D82" s="324">
        <f t="shared" si="14"/>
        <v>0</v>
      </c>
      <c r="E82" s="324"/>
      <c r="F82" s="324"/>
      <c r="G82" s="324"/>
      <c r="H82" s="323"/>
      <c r="I82" s="324"/>
      <c r="J82" s="196">
        <f t="shared" si="15"/>
        <v>0</v>
      </c>
      <c r="K82" s="196"/>
      <c r="L82" s="196"/>
      <c r="M82" s="196"/>
      <c r="N82" s="185"/>
      <c r="O82" s="196"/>
      <c r="P82" s="547"/>
      <c r="Q82" s="547"/>
      <c r="R82" s="547"/>
      <c r="S82" s="547"/>
      <c r="T82" s="547"/>
      <c r="U82" s="547"/>
      <c r="V82" s="547"/>
    </row>
    <row r="83" spans="1:22" s="1" customFormat="1" ht="12.75" thickBot="1">
      <c r="A83" s="815"/>
      <c r="B83" s="204" t="s">
        <v>183</v>
      </c>
      <c r="C83" s="205" t="s">
        <v>189</v>
      </c>
      <c r="D83" s="325">
        <f t="shared" ref="D83:D94" si="17">SUM(E83:I83)</f>
        <v>72220</v>
      </c>
      <c r="E83" s="284"/>
      <c r="F83" s="339">
        <v>72220</v>
      </c>
      <c r="G83" s="284"/>
      <c r="H83" s="284"/>
      <c r="I83" s="284"/>
      <c r="J83" s="206">
        <f t="shared" si="15"/>
        <v>72019.057000000001</v>
      </c>
      <c r="K83" s="284"/>
      <c r="L83" s="339">
        <v>72019.057000000001</v>
      </c>
      <c r="M83" s="214"/>
      <c r="N83" s="214"/>
      <c r="O83" s="214"/>
      <c r="P83" s="553"/>
      <c r="Q83" s="553"/>
      <c r="R83" s="553"/>
      <c r="S83" s="553"/>
      <c r="T83" s="553"/>
      <c r="U83" s="553"/>
      <c r="V83" s="553"/>
    </row>
    <row r="84" spans="1:22" s="1" customFormat="1" ht="12.75" thickBot="1">
      <c r="A84" s="815"/>
      <c r="B84" s="182" t="s">
        <v>184</v>
      </c>
      <c r="C84" s="182" t="s">
        <v>88</v>
      </c>
      <c r="D84" s="324">
        <f t="shared" si="17"/>
        <v>0</v>
      </c>
      <c r="E84" s="324"/>
      <c r="F84" s="324"/>
      <c r="G84" s="324"/>
      <c r="H84" s="324"/>
      <c r="I84" s="324"/>
      <c r="J84" s="196">
        <f t="shared" si="15"/>
        <v>0</v>
      </c>
      <c r="K84" s="196"/>
      <c r="L84" s="196"/>
      <c r="M84" s="196"/>
      <c r="N84" s="196"/>
      <c r="O84" s="196"/>
      <c r="P84" s="547"/>
      <c r="Q84" s="547"/>
      <c r="R84" s="547"/>
      <c r="S84" s="547"/>
      <c r="T84" s="547"/>
      <c r="U84" s="547"/>
      <c r="V84" s="547"/>
    </row>
    <row r="85" spans="1:22" s="1" customFormat="1" ht="12.75" thickBot="1">
      <c r="A85" s="815"/>
      <c r="B85" s="207"/>
      <c r="C85" s="208" t="s">
        <v>89</v>
      </c>
      <c r="D85" s="326">
        <f t="shared" si="17"/>
        <v>0</v>
      </c>
      <c r="E85" s="327"/>
      <c r="F85" s="327"/>
      <c r="G85" s="326"/>
      <c r="H85" s="326"/>
      <c r="I85" s="327"/>
      <c r="J85" s="209">
        <f t="shared" si="15"/>
        <v>0</v>
      </c>
      <c r="K85" s="210"/>
      <c r="L85" s="210"/>
      <c r="M85" s="209"/>
      <c r="N85" s="209"/>
      <c r="O85" s="210"/>
      <c r="P85" s="551"/>
      <c r="Q85" s="551"/>
      <c r="R85" s="551"/>
      <c r="S85" s="551"/>
      <c r="T85" s="551"/>
      <c r="U85" s="551"/>
      <c r="V85" s="551"/>
    </row>
    <row r="86" spans="1:22" s="1" customFormat="1" ht="12.75" thickBot="1">
      <c r="A86" s="815"/>
      <c r="B86" s="207"/>
      <c r="C86" s="208" t="s">
        <v>90</v>
      </c>
      <c r="D86" s="326">
        <f t="shared" si="17"/>
        <v>0</v>
      </c>
      <c r="E86" s="327"/>
      <c r="F86" s="327"/>
      <c r="G86" s="327"/>
      <c r="H86" s="326"/>
      <c r="I86" s="326"/>
      <c r="J86" s="209">
        <f t="shared" si="15"/>
        <v>0</v>
      </c>
      <c r="K86" s="210"/>
      <c r="L86" s="210"/>
      <c r="M86" s="210"/>
      <c r="N86" s="209"/>
      <c r="O86" s="209"/>
      <c r="P86" s="554"/>
      <c r="Q86" s="554"/>
      <c r="R86" s="554"/>
      <c r="S86" s="554"/>
      <c r="T86" s="554"/>
      <c r="U86" s="554"/>
      <c r="V86" s="554"/>
    </row>
    <row r="87" spans="1:22" s="1" customFormat="1" ht="12.75" thickBot="1">
      <c r="A87" s="815"/>
      <c r="B87" s="207"/>
      <c r="C87" s="208" t="s">
        <v>91</v>
      </c>
      <c r="D87" s="326">
        <f t="shared" si="17"/>
        <v>0</v>
      </c>
      <c r="E87" s="327"/>
      <c r="F87" s="327"/>
      <c r="G87" s="327"/>
      <c r="H87" s="327"/>
      <c r="I87" s="326"/>
      <c r="J87" s="209">
        <f t="shared" si="15"/>
        <v>0</v>
      </c>
      <c r="K87" s="210"/>
      <c r="L87" s="210"/>
      <c r="M87" s="210"/>
      <c r="N87" s="210"/>
      <c r="O87" s="209"/>
      <c r="P87" s="554"/>
      <c r="Q87" s="554"/>
      <c r="R87" s="554"/>
      <c r="S87" s="554"/>
      <c r="T87" s="554"/>
      <c r="U87" s="554"/>
      <c r="V87" s="554"/>
    </row>
    <row r="88" spans="1:22" s="1" customFormat="1" ht="12.75" thickBot="1">
      <c r="A88" s="815"/>
      <c r="B88" s="182" t="s">
        <v>185</v>
      </c>
      <c r="C88" s="182" t="s">
        <v>93</v>
      </c>
      <c r="D88" s="324">
        <f t="shared" si="17"/>
        <v>0</v>
      </c>
      <c r="E88" s="324"/>
      <c r="F88" s="324"/>
      <c r="G88" s="328"/>
      <c r="H88" s="328"/>
      <c r="I88" s="324"/>
      <c r="J88" s="196">
        <f t="shared" si="15"/>
        <v>0</v>
      </c>
      <c r="K88" s="196"/>
      <c r="L88" s="196"/>
      <c r="M88" s="211"/>
      <c r="N88" s="211"/>
      <c r="O88" s="196"/>
      <c r="P88" s="547"/>
      <c r="Q88" s="547"/>
      <c r="R88" s="547"/>
      <c r="S88" s="547"/>
      <c r="T88" s="547"/>
      <c r="U88" s="547"/>
      <c r="V88" s="547"/>
    </row>
    <row r="89" spans="1:22" s="1" customFormat="1" ht="12.75" thickBot="1">
      <c r="A89" s="815"/>
      <c r="B89" s="182" t="s">
        <v>186</v>
      </c>
      <c r="C89" s="182" t="s">
        <v>95</v>
      </c>
      <c r="D89" s="330">
        <f t="shared" si="17"/>
        <v>27562</v>
      </c>
      <c r="E89" s="380"/>
      <c r="F89" s="331">
        <v>27562</v>
      </c>
      <c r="G89" s="326"/>
      <c r="H89" s="326"/>
      <c r="I89" s="324"/>
      <c r="J89" s="213">
        <f t="shared" si="15"/>
        <v>28432.800000000003</v>
      </c>
      <c r="K89" s="383"/>
      <c r="L89" s="320">
        <v>28432.800000000003</v>
      </c>
      <c r="M89" s="209"/>
      <c r="N89" s="209"/>
      <c r="O89" s="196"/>
      <c r="P89" s="547"/>
      <c r="Q89" s="547"/>
      <c r="R89" s="547"/>
      <c r="S89" s="547"/>
      <c r="T89" s="547"/>
      <c r="U89" s="547"/>
      <c r="V89" s="547"/>
    </row>
    <row r="90" spans="1:22" s="1" customFormat="1" ht="12.75" thickBot="1">
      <c r="A90" s="815"/>
      <c r="B90" s="207"/>
      <c r="C90" s="208" t="s">
        <v>89</v>
      </c>
      <c r="D90" s="326">
        <f t="shared" si="17"/>
        <v>0</v>
      </c>
      <c r="E90" s="327"/>
      <c r="F90" s="327"/>
      <c r="G90" s="326"/>
      <c r="H90" s="326"/>
      <c r="I90" s="327"/>
      <c r="J90" s="209">
        <f t="shared" si="15"/>
        <v>0</v>
      </c>
      <c r="K90" s="210"/>
      <c r="L90" s="210"/>
      <c r="M90" s="209"/>
      <c r="N90" s="209"/>
      <c r="O90" s="210"/>
      <c r="P90" s="551"/>
      <c r="Q90" s="551"/>
      <c r="R90" s="551"/>
      <c r="S90" s="551"/>
      <c r="T90" s="551"/>
      <c r="U90" s="551"/>
      <c r="V90" s="551"/>
    </row>
    <row r="91" spans="1:22" s="1" customFormat="1" ht="12.75" thickBot="1">
      <c r="A91" s="815"/>
      <c r="B91" s="207"/>
      <c r="C91" s="208" t="s">
        <v>90</v>
      </c>
      <c r="D91" s="326">
        <f t="shared" si="17"/>
        <v>0</v>
      </c>
      <c r="E91" s="327"/>
      <c r="F91" s="327"/>
      <c r="G91" s="327"/>
      <c r="H91" s="326"/>
      <c r="I91" s="326"/>
      <c r="J91" s="209">
        <f t="shared" si="15"/>
        <v>0</v>
      </c>
      <c r="K91" s="210"/>
      <c r="L91" s="210"/>
      <c r="M91" s="210"/>
      <c r="N91" s="209"/>
      <c r="O91" s="209"/>
      <c r="P91" s="554"/>
      <c r="Q91" s="554"/>
      <c r="R91" s="554"/>
      <c r="S91" s="554"/>
      <c r="T91" s="554"/>
      <c r="U91" s="554"/>
      <c r="V91" s="554"/>
    </row>
    <row r="92" spans="1:22" s="1" customFormat="1" ht="12.75" thickBot="1">
      <c r="A92" s="815"/>
      <c r="B92" s="207"/>
      <c r="C92" s="208" t="s">
        <v>91</v>
      </c>
      <c r="D92" s="326">
        <f t="shared" si="17"/>
        <v>0</v>
      </c>
      <c r="E92" s="327"/>
      <c r="F92" s="327"/>
      <c r="G92" s="327"/>
      <c r="H92" s="327"/>
      <c r="I92" s="326"/>
      <c r="J92" s="209">
        <f t="shared" si="15"/>
        <v>0</v>
      </c>
      <c r="K92" s="210"/>
      <c r="L92" s="210"/>
      <c r="M92" s="210"/>
      <c r="N92" s="210"/>
      <c r="O92" s="209"/>
      <c r="P92" s="554"/>
      <c r="Q92" s="554"/>
      <c r="R92" s="554"/>
      <c r="S92" s="554"/>
      <c r="T92" s="554"/>
      <c r="U92" s="554"/>
      <c r="V92" s="554"/>
    </row>
    <row r="93" spans="1:22" s="1" customFormat="1" ht="12.75" thickBot="1">
      <c r="A93" s="815"/>
      <c r="B93" s="182" t="s">
        <v>187</v>
      </c>
      <c r="C93" s="182" t="s">
        <v>97</v>
      </c>
      <c r="D93" s="324">
        <f t="shared" si="17"/>
        <v>0</v>
      </c>
      <c r="E93" s="324"/>
      <c r="F93" s="324"/>
      <c r="G93" s="324"/>
      <c r="H93" s="323"/>
      <c r="I93" s="324"/>
      <c r="J93" s="196">
        <f t="shared" si="15"/>
        <v>0</v>
      </c>
      <c r="K93" s="196"/>
      <c r="L93" s="196"/>
      <c r="M93" s="196"/>
      <c r="N93" s="185"/>
      <c r="O93" s="196"/>
      <c r="P93" s="547"/>
      <c r="Q93" s="547"/>
      <c r="R93" s="547"/>
      <c r="S93" s="547"/>
      <c r="T93" s="547"/>
      <c r="U93" s="547"/>
      <c r="V93" s="547"/>
    </row>
    <row r="94" spans="1:22" s="1" customFormat="1" ht="12.75" thickBot="1">
      <c r="A94" s="815"/>
      <c r="B94" s="182" t="s">
        <v>188</v>
      </c>
      <c r="C94" s="182" t="s">
        <v>99</v>
      </c>
      <c r="D94" s="324">
        <f t="shared" si="17"/>
        <v>0</v>
      </c>
      <c r="E94" s="324"/>
      <c r="F94" s="324"/>
      <c r="G94" s="324"/>
      <c r="H94" s="323"/>
      <c r="I94" s="324"/>
      <c r="J94" s="196">
        <f t="shared" si="15"/>
        <v>0</v>
      </c>
      <c r="K94" s="196"/>
      <c r="L94" s="196"/>
      <c r="M94" s="196"/>
      <c r="N94" s="196"/>
      <c r="O94" s="196"/>
      <c r="P94" s="547"/>
      <c r="Q94" s="547"/>
      <c r="R94" s="547"/>
      <c r="S94" s="547"/>
      <c r="T94" s="547"/>
      <c r="U94" s="547"/>
      <c r="V94" s="547"/>
    </row>
    <row r="95" spans="1:22" s="1" customFormat="1" ht="12.75" thickBot="1">
      <c r="A95" s="815"/>
      <c r="B95" s="204" t="s">
        <v>197</v>
      </c>
      <c r="C95" s="595" t="s">
        <v>204</v>
      </c>
      <c r="D95" s="325">
        <f t="shared" ref="D95:D106" si="18">SUM(E95:I95)</f>
        <v>5480</v>
      </c>
      <c r="E95" s="284"/>
      <c r="F95" s="325"/>
      <c r="G95" s="339"/>
      <c r="H95" s="339">
        <v>5480</v>
      </c>
      <c r="I95" s="284"/>
      <c r="J95" s="581">
        <f t="shared" ref="J95:J106" si="19">SUM(K95:O95)</f>
        <v>2298.9009999999998</v>
      </c>
      <c r="K95" s="284"/>
      <c r="L95" s="325"/>
      <c r="M95" s="214"/>
      <c r="N95" s="339">
        <v>2298.9009999999998</v>
      </c>
      <c r="O95" s="214"/>
      <c r="P95" s="553"/>
      <c r="Q95" s="553"/>
      <c r="R95" s="553"/>
      <c r="S95" s="553"/>
      <c r="T95" s="553"/>
      <c r="U95" s="553"/>
      <c r="V95" s="553"/>
    </row>
    <row r="96" spans="1:22" s="1" customFormat="1" ht="12.75" thickBot="1">
      <c r="A96" s="815"/>
      <c r="B96" s="182" t="s">
        <v>198</v>
      </c>
      <c r="C96" s="182" t="s">
        <v>88</v>
      </c>
      <c r="D96" s="324">
        <f t="shared" si="18"/>
        <v>0</v>
      </c>
      <c r="E96" s="324"/>
      <c r="F96" s="324"/>
      <c r="G96" s="324"/>
      <c r="H96" s="324"/>
      <c r="I96" s="324"/>
      <c r="J96" s="196">
        <f t="shared" si="19"/>
        <v>0</v>
      </c>
      <c r="K96" s="196"/>
      <c r="L96" s="196"/>
      <c r="M96" s="196"/>
      <c r="N96" s="196"/>
      <c r="O96" s="196"/>
      <c r="P96" s="547"/>
      <c r="Q96" s="547"/>
      <c r="R96" s="547"/>
      <c r="S96" s="547"/>
      <c r="T96" s="547"/>
      <c r="U96" s="547"/>
      <c r="V96" s="547"/>
    </row>
    <row r="97" spans="1:22" s="1" customFormat="1" ht="12.75" thickBot="1">
      <c r="A97" s="815"/>
      <c r="B97" s="207"/>
      <c r="C97" s="208" t="s">
        <v>89</v>
      </c>
      <c r="D97" s="326">
        <f t="shared" si="18"/>
        <v>2470</v>
      </c>
      <c r="E97" s="327"/>
      <c r="F97" s="327"/>
      <c r="G97" s="326"/>
      <c r="H97" s="339">
        <v>2470</v>
      </c>
      <c r="I97" s="327"/>
      <c r="J97" s="209">
        <f t="shared" si="19"/>
        <v>0</v>
      </c>
      <c r="K97" s="210"/>
      <c r="L97" s="210"/>
      <c r="M97" s="209"/>
      <c r="N97" s="339"/>
      <c r="O97" s="210"/>
      <c r="P97" s="551"/>
      <c r="Q97" s="551"/>
      <c r="R97" s="551"/>
      <c r="S97" s="551"/>
      <c r="T97" s="551"/>
      <c r="U97" s="551"/>
      <c r="V97" s="551"/>
    </row>
    <row r="98" spans="1:22" s="1" customFormat="1" ht="12.75" thickBot="1">
      <c r="A98" s="815"/>
      <c r="B98" s="207"/>
      <c r="C98" s="208" t="s">
        <v>90</v>
      </c>
      <c r="D98" s="326">
        <f t="shared" si="18"/>
        <v>1560</v>
      </c>
      <c r="E98" s="327"/>
      <c r="F98" s="327"/>
      <c r="G98" s="327"/>
      <c r="H98" s="339">
        <v>1560</v>
      </c>
      <c r="I98" s="326"/>
      <c r="J98" s="209">
        <f t="shared" si="19"/>
        <v>777.73400000000004</v>
      </c>
      <c r="K98" s="210"/>
      <c r="L98" s="210"/>
      <c r="M98" s="210"/>
      <c r="N98" s="339">
        <v>777.73400000000004</v>
      </c>
      <c r="O98" s="209"/>
      <c r="P98" s="554"/>
      <c r="Q98" s="554"/>
      <c r="R98" s="554"/>
      <c r="S98" s="554"/>
      <c r="T98" s="554"/>
      <c r="U98" s="554"/>
      <c r="V98" s="554"/>
    </row>
    <row r="99" spans="1:22" s="1" customFormat="1" ht="12.75" thickBot="1">
      <c r="A99" s="815"/>
      <c r="B99" s="207"/>
      <c r="C99" s="208" t="s">
        <v>91</v>
      </c>
      <c r="D99" s="326">
        <f t="shared" si="18"/>
        <v>0</v>
      </c>
      <c r="E99" s="327"/>
      <c r="F99" s="327"/>
      <c r="G99" s="327"/>
      <c r="H99" s="327"/>
      <c r="I99" s="326"/>
      <c r="J99" s="209">
        <f t="shared" si="19"/>
        <v>0</v>
      </c>
      <c r="K99" s="210"/>
      <c r="L99" s="210"/>
      <c r="M99" s="210"/>
      <c r="N99" s="210"/>
      <c r="O99" s="209"/>
      <c r="P99" s="554"/>
      <c r="Q99" s="554"/>
      <c r="R99" s="554"/>
      <c r="S99" s="554"/>
      <c r="T99" s="554"/>
      <c r="U99" s="554"/>
      <c r="V99" s="554"/>
    </row>
    <row r="100" spans="1:22" s="1" customFormat="1" ht="12.75" thickBot="1">
      <c r="A100" s="815"/>
      <c r="B100" s="182" t="s">
        <v>199</v>
      </c>
      <c r="C100" s="182" t="s">
        <v>93</v>
      </c>
      <c r="D100" s="324">
        <f t="shared" si="18"/>
        <v>0</v>
      </c>
      <c r="E100" s="324"/>
      <c r="F100" s="324"/>
      <c r="G100" s="328"/>
      <c r="H100" s="339"/>
      <c r="I100" s="324"/>
      <c r="J100" s="196">
        <f t="shared" si="19"/>
        <v>0</v>
      </c>
      <c r="K100" s="196"/>
      <c r="L100" s="196"/>
      <c r="M100" s="211"/>
      <c r="N100" s="432"/>
      <c r="O100" s="196"/>
      <c r="P100" s="547"/>
      <c r="Q100" s="547"/>
      <c r="R100" s="547"/>
      <c r="S100" s="547"/>
      <c r="T100" s="547"/>
      <c r="U100" s="547"/>
      <c r="V100" s="547"/>
    </row>
    <row r="101" spans="1:22" s="1" customFormat="1" ht="12.75" thickBot="1">
      <c r="A101" s="815"/>
      <c r="B101" s="182" t="s">
        <v>200</v>
      </c>
      <c r="C101" s="182" t="s">
        <v>95</v>
      </c>
      <c r="D101" s="330">
        <f t="shared" si="18"/>
        <v>0</v>
      </c>
      <c r="E101" s="380"/>
      <c r="F101" s="326"/>
      <c r="G101" s="326"/>
      <c r="H101" s="326"/>
      <c r="I101" s="324"/>
      <c r="J101" s="213">
        <f t="shared" si="19"/>
        <v>0</v>
      </c>
      <c r="K101" s="383"/>
      <c r="L101" s="326"/>
      <c r="M101" s="209"/>
      <c r="N101" s="209"/>
      <c r="O101" s="196"/>
      <c r="P101" s="547"/>
      <c r="Q101" s="547"/>
      <c r="R101" s="547"/>
      <c r="S101" s="547"/>
      <c r="T101" s="547"/>
      <c r="U101" s="547"/>
      <c r="V101" s="547"/>
    </row>
    <row r="102" spans="1:22" s="1" customFormat="1" ht="12.75" thickBot="1">
      <c r="A102" s="815"/>
      <c r="B102" s="207"/>
      <c r="C102" s="208" t="s">
        <v>89</v>
      </c>
      <c r="D102" s="326">
        <f t="shared" si="18"/>
        <v>0</v>
      </c>
      <c r="E102" s="327"/>
      <c r="F102" s="327"/>
      <c r="G102" s="326"/>
      <c r="H102" s="339"/>
      <c r="I102" s="327"/>
      <c r="J102" s="209">
        <f t="shared" si="19"/>
        <v>0</v>
      </c>
      <c r="K102" s="210"/>
      <c r="L102" s="210"/>
      <c r="M102" s="209"/>
      <c r="N102" s="209"/>
      <c r="O102" s="210"/>
      <c r="P102" s="551"/>
      <c r="Q102" s="551"/>
      <c r="R102" s="551"/>
      <c r="S102" s="551"/>
      <c r="T102" s="551"/>
      <c r="U102" s="551"/>
      <c r="V102" s="551"/>
    </row>
    <row r="103" spans="1:22" s="1" customFormat="1" ht="12.75" thickBot="1">
      <c r="A103" s="815"/>
      <c r="B103" s="207"/>
      <c r="C103" s="208" t="s">
        <v>90</v>
      </c>
      <c r="D103" s="326">
        <f t="shared" si="18"/>
        <v>0</v>
      </c>
      <c r="E103" s="327"/>
      <c r="F103" s="327"/>
      <c r="G103" s="327"/>
      <c r="H103" s="326"/>
      <c r="I103" s="326"/>
      <c r="J103" s="209">
        <f t="shared" si="19"/>
        <v>0</v>
      </c>
      <c r="K103" s="210"/>
      <c r="L103" s="210"/>
      <c r="M103" s="210"/>
      <c r="N103" s="209"/>
      <c r="O103" s="209"/>
      <c r="P103" s="554"/>
      <c r="Q103" s="554"/>
      <c r="R103" s="554"/>
      <c r="S103" s="554"/>
      <c r="T103" s="554"/>
      <c r="U103" s="554"/>
      <c r="V103" s="554"/>
    </row>
    <row r="104" spans="1:22" s="1" customFormat="1" ht="12.75" thickBot="1">
      <c r="A104" s="815"/>
      <c r="B104" s="207"/>
      <c r="C104" s="208" t="s">
        <v>91</v>
      </c>
      <c r="D104" s="326">
        <f t="shared" si="18"/>
        <v>0</v>
      </c>
      <c r="E104" s="327"/>
      <c r="F104" s="327"/>
      <c r="G104" s="327"/>
      <c r="H104" s="327"/>
      <c r="I104" s="326"/>
      <c r="J104" s="209">
        <f t="shared" si="19"/>
        <v>0</v>
      </c>
      <c r="K104" s="210"/>
      <c r="L104" s="210"/>
      <c r="M104" s="210"/>
      <c r="N104" s="210"/>
      <c r="O104" s="209"/>
      <c r="P104" s="554"/>
      <c r="Q104" s="554"/>
      <c r="R104" s="554"/>
      <c r="S104" s="554"/>
      <c r="T104" s="554"/>
      <c r="U104" s="554"/>
      <c r="V104" s="554"/>
    </row>
    <row r="105" spans="1:22" s="1" customFormat="1" ht="12.75" thickBot="1">
      <c r="A105" s="815"/>
      <c r="B105" s="182" t="s">
        <v>201</v>
      </c>
      <c r="C105" s="182" t="s">
        <v>97</v>
      </c>
      <c r="D105" s="324">
        <f t="shared" si="18"/>
        <v>0</v>
      </c>
      <c r="E105" s="324"/>
      <c r="F105" s="324"/>
      <c r="G105" s="324"/>
      <c r="H105" s="324"/>
      <c r="I105" s="324"/>
      <c r="J105" s="196">
        <f t="shared" si="19"/>
        <v>0</v>
      </c>
      <c r="K105" s="196"/>
      <c r="L105" s="196"/>
      <c r="M105" s="196"/>
      <c r="N105" s="185"/>
      <c r="O105" s="196"/>
      <c r="P105" s="547"/>
      <c r="Q105" s="547"/>
      <c r="R105" s="547"/>
      <c r="S105" s="547"/>
      <c r="T105" s="547"/>
      <c r="U105" s="547"/>
      <c r="V105" s="547"/>
    </row>
    <row r="106" spans="1:22" s="1" customFormat="1" ht="12.75" thickBot="1">
      <c r="A106" s="815"/>
      <c r="B106" s="182" t="s">
        <v>202</v>
      </c>
      <c r="C106" s="182" t="s">
        <v>99</v>
      </c>
      <c r="D106" s="324">
        <f t="shared" si="18"/>
        <v>0</v>
      </c>
      <c r="E106" s="324"/>
      <c r="F106" s="324"/>
      <c r="G106" s="324"/>
      <c r="H106" s="324"/>
      <c r="I106" s="324"/>
      <c r="J106" s="196">
        <f t="shared" si="19"/>
        <v>0</v>
      </c>
      <c r="K106" s="196"/>
      <c r="L106" s="196"/>
      <c r="M106" s="196"/>
      <c r="N106" s="196"/>
      <c r="O106" s="196"/>
      <c r="P106" s="547"/>
      <c r="Q106" s="547"/>
      <c r="R106" s="547"/>
      <c r="S106" s="547"/>
      <c r="T106" s="547"/>
      <c r="U106" s="547"/>
      <c r="V106" s="547"/>
    </row>
    <row r="107" spans="1:22" s="1" customFormat="1" ht="12.75" thickBot="1">
      <c r="A107" s="815"/>
      <c r="B107" s="204" t="s">
        <v>234</v>
      </c>
      <c r="C107" s="595" t="s">
        <v>235</v>
      </c>
      <c r="D107" s="325">
        <f t="shared" ref="D107:D118" si="20">SUM(E107:I107)</f>
        <v>0</v>
      </c>
      <c r="E107" s="284"/>
      <c r="F107" s="325"/>
      <c r="G107" s="284"/>
      <c r="H107" s="339"/>
      <c r="I107" s="284"/>
      <c r="J107" s="206">
        <f t="shared" ref="J107:J118" si="21">SUM(K107:O107)</f>
        <v>0</v>
      </c>
      <c r="K107" s="284"/>
      <c r="L107" s="325"/>
      <c r="M107" s="214"/>
      <c r="N107" s="339"/>
      <c r="O107" s="214"/>
      <c r="P107" s="547"/>
      <c r="Q107" s="547"/>
      <c r="R107" s="547"/>
      <c r="S107" s="547"/>
      <c r="T107" s="547"/>
      <c r="U107" s="547"/>
      <c r="V107" s="547"/>
    </row>
    <row r="108" spans="1:22" s="1" customFormat="1" ht="12.75" thickBot="1">
      <c r="A108" s="815"/>
      <c r="B108" s="182" t="s">
        <v>236</v>
      </c>
      <c r="C108" s="182" t="s">
        <v>88</v>
      </c>
      <c r="D108" s="324">
        <f t="shared" si="20"/>
        <v>0</v>
      </c>
      <c r="E108" s="324"/>
      <c r="F108" s="324"/>
      <c r="G108" s="324"/>
      <c r="H108" s="324"/>
      <c r="I108" s="324"/>
      <c r="J108" s="196">
        <f t="shared" si="21"/>
        <v>0</v>
      </c>
      <c r="K108" s="196"/>
      <c r="L108" s="196"/>
      <c r="M108" s="196"/>
      <c r="N108" s="196"/>
      <c r="O108" s="196"/>
      <c r="P108" s="547"/>
      <c r="Q108" s="547"/>
      <c r="R108" s="547"/>
      <c r="S108" s="547"/>
      <c r="T108" s="547"/>
      <c r="U108" s="547"/>
      <c r="V108" s="547"/>
    </row>
    <row r="109" spans="1:22" s="1" customFormat="1" ht="12.75" thickBot="1">
      <c r="A109" s="815"/>
      <c r="B109" s="207"/>
      <c r="C109" s="208" t="s">
        <v>89</v>
      </c>
      <c r="D109" s="326">
        <f t="shared" si="20"/>
        <v>0</v>
      </c>
      <c r="E109" s="327"/>
      <c r="F109" s="327"/>
      <c r="G109" s="326"/>
      <c r="H109" s="339"/>
      <c r="I109" s="327"/>
      <c r="J109" s="209">
        <f t="shared" si="21"/>
        <v>0</v>
      </c>
      <c r="K109" s="210"/>
      <c r="L109" s="210"/>
      <c r="M109" s="209"/>
      <c r="N109" s="339"/>
      <c r="O109" s="210"/>
      <c r="P109" s="547"/>
      <c r="Q109" s="547"/>
      <c r="R109" s="547"/>
      <c r="S109" s="547"/>
      <c r="T109" s="547"/>
      <c r="U109" s="547"/>
      <c r="V109" s="547"/>
    </row>
    <row r="110" spans="1:22" s="1" customFormat="1" ht="12.75" thickBot="1">
      <c r="A110" s="815"/>
      <c r="B110" s="207"/>
      <c r="C110" s="208" t="s">
        <v>90</v>
      </c>
      <c r="D110" s="326">
        <f t="shared" si="20"/>
        <v>0</v>
      </c>
      <c r="E110" s="327"/>
      <c r="F110" s="327"/>
      <c r="G110" s="327"/>
      <c r="H110" s="339"/>
      <c r="I110" s="326"/>
      <c r="J110" s="209">
        <f t="shared" si="21"/>
        <v>0</v>
      </c>
      <c r="K110" s="210"/>
      <c r="L110" s="210"/>
      <c r="M110" s="210"/>
      <c r="N110" s="699"/>
      <c r="O110" s="209"/>
      <c r="P110" s="547"/>
      <c r="Q110" s="547"/>
      <c r="R110" s="547"/>
      <c r="S110" s="547"/>
      <c r="T110" s="547"/>
      <c r="U110" s="547"/>
      <c r="V110" s="547"/>
    </row>
    <row r="111" spans="1:22" s="1" customFormat="1" ht="12.75" thickBot="1">
      <c r="A111" s="815"/>
      <c r="B111" s="207"/>
      <c r="C111" s="208" t="s">
        <v>91</v>
      </c>
      <c r="D111" s="326">
        <f t="shared" si="20"/>
        <v>0</v>
      </c>
      <c r="E111" s="327"/>
      <c r="F111" s="327"/>
      <c r="G111" s="327"/>
      <c r="H111" s="327"/>
      <c r="I111" s="326"/>
      <c r="J111" s="209">
        <f t="shared" si="21"/>
        <v>0</v>
      </c>
      <c r="K111" s="210"/>
      <c r="L111" s="210"/>
      <c r="M111" s="210"/>
      <c r="N111" s="210"/>
      <c r="O111" s="209"/>
      <c r="P111" s="547"/>
      <c r="Q111" s="547"/>
      <c r="R111" s="547"/>
      <c r="S111" s="547"/>
      <c r="T111" s="547"/>
      <c r="U111" s="547"/>
      <c r="V111" s="547"/>
    </row>
    <row r="112" spans="1:22" s="1" customFormat="1" ht="12.75" thickBot="1">
      <c r="A112" s="815"/>
      <c r="B112" s="182" t="s">
        <v>237</v>
      </c>
      <c r="C112" s="182" t="s">
        <v>93</v>
      </c>
      <c r="D112" s="324">
        <f t="shared" si="20"/>
        <v>0</v>
      </c>
      <c r="E112" s="324"/>
      <c r="F112" s="324"/>
      <c r="G112" s="328"/>
      <c r="H112" s="328"/>
      <c r="I112" s="324"/>
      <c r="J112" s="196">
        <f t="shared" si="21"/>
        <v>0</v>
      </c>
      <c r="K112" s="196"/>
      <c r="L112" s="196"/>
      <c r="M112" s="211"/>
      <c r="N112" s="211"/>
      <c r="O112" s="196"/>
      <c r="P112" s="547"/>
      <c r="Q112" s="547"/>
      <c r="R112" s="547"/>
      <c r="S112" s="547"/>
      <c r="T112" s="547"/>
      <c r="U112" s="547"/>
      <c r="V112" s="547"/>
    </row>
    <row r="113" spans="1:22" s="1" customFormat="1" ht="12.75" thickBot="1">
      <c r="A113" s="815"/>
      <c r="B113" s="182" t="s">
        <v>238</v>
      </c>
      <c r="C113" s="182" t="s">
        <v>95</v>
      </c>
      <c r="D113" s="330">
        <f t="shared" si="20"/>
        <v>0</v>
      </c>
      <c r="E113" s="380"/>
      <c r="F113" s="331"/>
      <c r="G113" s="326"/>
      <c r="H113" s="326"/>
      <c r="I113" s="324"/>
      <c r="J113" s="213">
        <f t="shared" si="21"/>
        <v>0</v>
      </c>
      <c r="K113" s="383"/>
      <c r="L113" s="320"/>
      <c r="M113" s="209"/>
      <c r="N113" s="209"/>
      <c r="O113" s="196"/>
      <c r="P113" s="547"/>
      <c r="Q113" s="547"/>
      <c r="R113" s="547"/>
      <c r="S113" s="547"/>
      <c r="T113" s="547"/>
      <c r="U113" s="547"/>
      <c r="V113" s="547"/>
    </row>
    <row r="114" spans="1:22" s="1" customFormat="1" ht="12.75" thickBot="1">
      <c r="A114" s="815"/>
      <c r="B114" s="207"/>
      <c r="C114" s="208" t="s">
        <v>89</v>
      </c>
      <c r="D114" s="326">
        <f t="shared" si="20"/>
        <v>0</v>
      </c>
      <c r="E114" s="327"/>
      <c r="F114" s="327"/>
      <c r="G114" s="326"/>
      <c r="H114" s="326"/>
      <c r="I114" s="327"/>
      <c r="J114" s="209">
        <f t="shared" si="21"/>
        <v>0</v>
      </c>
      <c r="K114" s="210"/>
      <c r="L114" s="210"/>
      <c r="M114" s="209"/>
      <c r="N114" s="209"/>
      <c r="O114" s="210"/>
      <c r="P114" s="547"/>
      <c r="Q114" s="547"/>
      <c r="R114" s="547"/>
      <c r="S114" s="547"/>
      <c r="T114" s="547"/>
      <c r="U114" s="547"/>
      <c r="V114" s="547"/>
    </row>
    <row r="115" spans="1:22" s="1" customFormat="1" ht="12.75" thickBot="1">
      <c r="A115" s="815"/>
      <c r="B115" s="207"/>
      <c r="C115" s="208" t="s">
        <v>90</v>
      </c>
      <c r="D115" s="326">
        <f t="shared" si="20"/>
        <v>0</v>
      </c>
      <c r="E115" s="327"/>
      <c r="F115" s="327"/>
      <c r="G115" s="327"/>
      <c r="H115" s="326"/>
      <c r="I115" s="326"/>
      <c r="J115" s="209">
        <f t="shared" si="21"/>
        <v>0</v>
      </c>
      <c r="K115" s="210"/>
      <c r="L115" s="210"/>
      <c r="M115" s="210"/>
      <c r="N115" s="209"/>
      <c r="O115" s="209"/>
      <c r="P115" s="547"/>
      <c r="Q115" s="547"/>
      <c r="R115" s="547"/>
      <c r="S115" s="547"/>
      <c r="T115" s="547"/>
      <c r="U115" s="547"/>
      <c r="V115" s="547"/>
    </row>
    <row r="116" spans="1:22" s="1" customFormat="1" ht="12.75" thickBot="1">
      <c r="A116" s="815"/>
      <c r="B116" s="207"/>
      <c r="C116" s="208" t="s">
        <v>91</v>
      </c>
      <c r="D116" s="326">
        <f t="shared" si="20"/>
        <v>0</v>
      </c>
      <c r="E116" s="327"/>
      <c r="F116" s="327"/>
      <c r="G116" s="327"/>
      <c r="H116" s="327"/>
      <c r="I116" s="326"/>
      <c r="J116" s="209">
        <f t="shared" si="21"/>
        <v>0</v>
      </c>
      <c r="K116" s="210"/>
      <c r="L116" s="210"/>
      <c r="M116" s="210"/>
      <c r="N116" s="210"/>
      <c r="O116" s="209"/>
      <c r="P116" s="547"/>
      <c r="Q116" s="547"/>
      <c r="R116" s="547"/>
      <c r="S116" s="547"/>
      <c r="T116" s="547"/>
      <c r="U116" s="547"/>
      <c r="V116" s="547"/>
    </row>
    <row r="117" spans="1:22" s="1" customFormat="1" ht="12.75" thickBot="1">
      <c r="A117" s="815"/>
      <c r="B117" s="182" t="s">
        <v>239</v>
      </c>
      <c r="C117" s="182" t="s">
        <v>97</v>
      </c>
      <c r="D117" s="324">
        <f t="shared" si="20"/>
        <v>0</v>
      </c>
      <c r="E117" s="324"/>
      <c r="F117" s="324"/>
      <c r="G117" s="324"/>
      <c r="H117" s="324"/>
      <c r="I117" s="324"/>
      <c r="J117" s="196">
        <f t="shared" si="21"/>
        <v>0</v>
      </c>
      <c r="K117" s="196"/>
      <c r="L117" s="196"/>
      <c r="M117" s="196"/>
      <c r="N117" s="185"/>
      <c r="O117" s="196"/>
      <c r="P117" s="547"/>
      <c r="Q117" s="547"/>
      <c r="R117" s="547"/>
      <c r="S117" s="547"/>
      <c r="T117" s="547"/>
      <c r="U117" s="547"/>
      <c r="V117" s="547"/>
    </row>
    <row r="118" spans="1:22" s="1" customFormat="1" ht="12.75" thickBot="1">
      <c r="A118" s="815"/>
      <c r="B118" s="182" t="s">
        <v>240</v>
      </c>
      <c r="C118" s="182" t="s">
        <v>99</v>
      </c>
      <c r="D118" s="324">
        <f t="shared" si="20"/>
        <v>0</v>
      </c>
      <c r="E118" s="324"/>
      <c r="F118" s="324"/>
      <c r="G118" s="324"/>
      <c r="H118" s="323"/>
      <c r="I118" s="324"/>
      <c r="J118" s="196">
        <f t="shared" si="21"/>
        <v>0</v>
      </c>
      <c r="K118" s="196"/>
      <c r="L118" s="196"/>
      <c r="M118" s="196"/>
      <c r="N118" s="196"/>
      <c r="O118" s="196"/>
      <c r="P118" s="547"/>
      <c r="Q118" s="547"/>
      <c r="R118" s="547"/>
      <c r="S118" s="547"/>
      <c r="T118" s="547"/>
      <c r="U118" s="547"/>
      <c r="V118" s="547"/>
    </row>
    <row r="119" spans="1:22" s="1" customFormat="1" ht="12.75" thickBot="1">
      <c r="A119" s="815"/>
      <c r="B119" s="204" t="s">
        <v>242</v>
      </c>
      <c r="C119" s="595" t="s">
        <v>248</v>
      </c>
      <c r="D119" s="325">
        <f t="shared" ref="D119:D142" si="22">SUM(E119:I119)</f>
        <v>0</v>
      </c>
      <c r="E119" s="284"/>
      <c r="F119" s="325"/>
      <c r="G119" s="284"/>
      <c r="H119" s="339"/>
      <c r="I119" s="284"/>
      <c r="J119" s="206">
        <f t="shared" ref="J119:J142" si="23">SUM(K119:O119)</f>
        <v>0</v>
      </c>
      <c r="K119" s="284"/>
      <c r="L119" s="325"/>
      <c r="M119" s="214"/>
      <c r="N119" s="339"/>
      <c r="O119" s="214"/>
      <c r="P119" s="547"/>
      <c r="Q119" s="547"/>
      <c r="R119" s="547"/>
      <c r="S119" s="547"/>
      <c r="T119" s="547"/>
      <c r="U119" s="547"/>
      <c r="V119" s="547"/>
    </row>
    <row r="120" spans="1:22" s="1" customFormat="1" ht="12.75" thickBot="1">
      <c r="A120" s="815"/>
      <c r="B120" s="182" t="s">
        <v>243</v>
      </c>
      <c r="C120" s="182" t="s">
        <v>88</v>
      </c>
      <c r="D120" s="324">
        <f t="shared" si="22"/>
        <v>0</v>
      </c>
      <c r="E120" s="324"/>
      <c r="F120" s="324"/>
      <c r="G120" s="324"/>
      <c r="H120" s="324"/>
      <c r="I120" s="324"/>
      <c r="J120" s="196">
        <f t="shared" si="23"/>
        <v>0</v>
      </c>
      <c r="K120" s="196"/>
      <c r="L120" s="196"/>
      <c r="M120" s="196"/>
      <c r="N120" s="196"/>
      <c r="O120" s="196"/>
      <c r="P120" s="547"/>
      <c r="Q120" s="547"/>
      <c r="R120" s="547"/>
      <c r="S120" s="547"/>
      <c r="T120" s="547"/>
      <c r="U120" s="547"/>
      <c r="V120" s="547"/>
    </row>
    <row r="121" spans="1:22" s="1" customFormat="1" ht="12.75" thickBot="1">
      <c r="A121" s="815"/>
      <c r="B121" s="207"/>
      <c r="C121" s="208" t="s">
        <v>89</v>
      </c>
      <c r="D121" s="326">
        <f t="shared" si="22"/>
        <v>0</v>
      </c>
      <c r="E121" s="327"/>
      <c r="F121" s="327"/>
      <c r="G121" s="326"/>
      <c r="H121" s="339"/>
      <c r="I121" s="327"/>
      <c r="J121" s="209">
        <f t="shared" si="23"/>
        <v>0</v>
      </c>
      <c r="K121" s="210"/>
      <c r="L121" s="210"/>
      <c r="M121" s="209"/>
      <c r="N121" s="339"/>
      <c r="O121" s="210"/>
      <c r="P121" s="547"/>
      <c r="Q121" s="547"/>
      <c r="R121" s="547"/>
      <c r="S121" s="547"/>
      <c r="T121" s="547"/>
      <c r="U121" s="547"/>
      <c r="V121" s="547"/>
    </row>
    <row r="122" spans="1:22" s="1" customFormat="1" ht="12.75" thickBot="1">
      <c r="A122" s="815"/>
      <c r="B122" s="207"/>
      <c r="C122" s="208" t="s">
        <v>90</v>
      </c>
      <c r="D122" s="326">
        <f t="shared" si="22"/>
        <v>0</v>
      </c>
      <c r="E122" s="327"/>
      <c r="F122" s="327"/>
      <c r="G122" s="327"/>
      <c r="H122" s="339"/>
      <c r="I122" s="326"/>
      <c r="J122" s="209">
        <f t="shared" si="23"/>
        <v>0</v>
      </c>
      <c r="K122" s="210"/>
      <c r="L122" s="210"/>
      <c r="M122" s="210"/>
      <c r="N122" s="699"/>
      <c r="O122" s="209"/>
      <c r="P122" s="547"/>
      <c r="Q122" s="547"/>
      <c r="R122" s="547"/>
      <c r="S122" s="547"/>
      <c r="T122" s="547"/>
      <c r="U122" s="547"/>
      <c r="V122" s="547"/>
    </row>
    <row r="123" spans="1:22" s="1" customFormat="1" ht="12.75" thickBot="1">
      <c r="A123" s="815"/>
      <c r="B123" s="207"/>
      <c r="C123" s="208" t="s">
        <v>91</v>
      </c>
      <c r="D123" s="326">
        <f t="shared" si="22"/>
        <v>0</v>
      </c>
      <c r="E123" s="327"/>
      <c r="F123" s="327"/>
      <c r="G123" s="327"/>
      <c r="H123" s="327"/>
      <c r="I123" s="326"/>
      <c r="J123" s="209">
        <f t="shared" si="23"/>
        <v>0</v>
      </c>
      <c r="K123" s="210"/>
      <c r="L123" s="210"/>
      <c r="M123" s="210"/>
      <c r="N123" s="210"/>
      <c r="O123" s="209"/>
      <c r="P123" s="547"/>
      <c r="Q123" s="547"/>
      <c r="R123" s="547"/>
      <c r="S123" s="547"/>
      <c r="T123" s="547"/>
      <c r="U123" s="547"/>
      <c r="V123" s="547"/>
    </row>
    <row r="124" spans="1:22" s="1" customFormat="1" ht="12.75" thickBot="1">
      <c r="A124" s="815"/>
      <c r="B124" s="182" t="s">
        <v>244</v>
      </c>
      <c r="C124" s="182" t="s">
        <v>93</v>
      </c>
      <c r="D124" s="324">
        <f t="shared" si="22"/>
        <v>0</v>
      </c>
      <c r="E124" s="324"/>
      <c r="F124" s="324"/>
      <c r="G124" s="328"/>
      <c r="H124" s="328"/>
      <c r="I124" s="324"/>
      <c r="J124" s="196">
        <f t="shared" si="23"/>
        <v>0</v>
      </c>
      <c r="K124" s="196"/>
      <c r="L124" s="196"/>
      <c r="M124" s="211"/>
      <c r="N124" s="211"/>
      <c r="O124" s="196"/>
      <c r="P124" s="547"/>
      <c r="Q124" s="547"/>
      <c r="R124" s="547"/>
      <c r="S124" s="547"/>
      <c r="T124" s="547"/>
      <c r="U124" s="547"/>
      <c r="V124" s="547"/>
    </row>
    <row r="125" spans="1:22" s="1" customFormat="1" ht="12.75" thickBot="1">
      <c r="A125" s="815"/>
      <c r="B125" s="182" t="s">
        <v>245</v>
      </c>
      <c r="C125" s="182" t="s">
        <v>95</v>
      </c>
      <c r="D125" s="330">
        <f t="shared" si="22"/>
        <v>0</v>
      </c>
      <c r="E125" s="380"/>
      <c r="F125" s="331"/>
      <c r="G125" s="326"/>
      <c r="H125" s="326"/>
      <c r="I125" s="324"/>
      <c r="J125" s="213">
        <f t="shared" si="23"/>
        <v>0</v>
      </c>
      <c r="K125" s="383"/>
      <c r="L125" s="320"/>
      <c r="M125" s="209"/>
      <c r="N125" s="209"/>
      <c r="O125" s="196"/>
      <c r="P125" s="547"/>
      <c r="Q125" s="547"/>
      <c r="R125" s="547"/>
      <c r="S125" s="547"/>
      <c r="T125" s="547"/>
      <c r="U125" s="547"/>
      <c r="V125" s="547"/>
    </row>
    <row r="126" spans="1:22" s="1" customFormat="1" ht="12.75" thickBot="1">
      <c r="A126" s="815"/>
      <c r="B126" s="207"/>
      <c r="C126" s="208" t="s">
        <v>89</v>
      </c>
      <c r="D126" s="326">
        <f t="shared" si="22"/>
        <v>0</v>
      </c>
      <c r="E126" s="327"/>
      <c r="F126" s="327"/>
      <c r="G126" s="326"/>
      <c r="H126" s="326"/>
      <c r="I126" s="327"/>
      <c r="J126" s="209">
        <f t="shared" si="23"/>
        <v>0</v>
      </c>
      <c r="K126" s="210"/>
      <c r="L126" s="210"/>
      <c r="M126" s="209"/>
      <c r="N126" s="209"/>
      <c r="O126" s="210"/>
      <c r="P126" s="547"/>
      <c r="Q126" s="547"/>
      <c r="R126" s="547"/>
      <c r="S126" s="547"/>
      <c r="T126" s="547"/>
      <c r="U126" s="547"/>
      <c r="V126" s="547"/>
    </row>
    <row r="127" spans="1:22" s="1" customFormat="1" ht="12.75" thickBot="1">
      <c r="A127" s="815"/>
      <c r="B127" s="207"/>
      <c r="C127" s="208" t="s">
        <v>90</v>
      </c>
      <c r="D127" s="326">
        <f t="shared" si="22"/>
        <v>0</v>
      </c>
      <c r="E127" s="327"/>
      <c r="F127" s="327"/>
      <c r="G127" s="327"/>
      <c r="H127" s="326"/>
      <c r="I127" s="326"/>
      <c r="J127" s="209">
        <f t="shared" si="23"/>
        <v>0</v>
      </c>
      <c r="K127" s="210"/>
      <c r="L127" s="210"/>
      <c r="M127" s="210"/>
      <c r="N127" s="209"/>
      <c r="O127" s="209"/>
      <c r="P127" s="547"/>
      <c r="Q127" s="547"/>
      <c r="R127" s="547"/>
      <c r="S127" s="547"/>
      <c r="T127" s="547"/>
      <c r="U127" s="547"/>
      <c r="V127" s="547"/>
    </row>
    <row r="128" spans="1:22" s="1" customFormat="1" ht="12.75" thickBot="1">
      <c r="A128" s="815"/>
      <c r="B128" s="207"/>
      <c r="C128" s="208" t="s">
        <v>91</v>
      </c>
      <c r="D128" s="326">
        <f t="shared" si="22"/>
        <v>0</v>
      </c>
      <c r="E128" s="327"/>
      <c r="F128" s="327"/>
      <c r="G128" s="327"/>
      <c r="H128" s="327"/>
      <c r="I128" s="326"/>
      <c r="J128" s="209">
        <f t="shared" si="23"/>
        <v>0</v>
      </c>
      <c r="K128" s="210"/>
      <c r="L128" s="210"/>
      <c r="M128" s="210"/>
      <c r="N128" s="210"/>
      <c r="O128" s="209"/>
      <c r="P128" s="547"/>
      <c r="Q128" s="547"/>
      <c r="R128" s="547"/>
      <c r="S128" s="547"/>
      <c r="T128" s="547"/>
      <c r="U128" s="547"/>
      <c r="V128" s="547"/>
    </row>
    <row r="129" spans="1:22" s="1" customFormat="1" ht="12.75" thickBot="1">
      <c r="A129" s="815"/>
      <c r="B129" s="182" t="s">
        <v>246</v>
      </c>
      <c r="C129" s="182" t="s">
        <v>97</v>
      </c>
      <c r="D129" s="324">
        <f t="shared" si="22"/>
        <v>0</v>
      </c>
      <c r="E129" s="324"/>
      <c r="F129" s="324"/>
      <c r="G129" s="324"/>
      <c r="H129" s="324"/>
      <c r="I129" s="324"/>
      <c r="J129" s="196">
        <f t="shared" si="23"/>
        <v>0</v>
      </c>
      <c r="K129" s="196"/>
      <c r="L129" s="196"/>
      <c r="M129" s="196"/>
      <c r="N129" s="185"/>
      <c r="O129" s="196"/>
      <c r="P129" s="547"/>
      <c r="Q129" s="547"/>
      <c r="R129" s="547"/>
      <c r="S129" s="547"/>
      <c r="T129" s="547"/>
      <c r="U129" s="547"/>
      <c r="V129" s="547"/>
    </row>
    <row r="130" spans="1:22" s="1" customFormat="1" ht="12.75" thickBot="1">
      <c r="A130" s="815"/>
      <c r="B130" s="182" t="s">
        <v>247</v>
      </c>
      <c r="C130" s="182" t="s">
        <v>99</v>
      </c>
      <c r="D130" s="324">
        <f t="shared" si="22"/>
        <v>0</v>
      </c>
      <c r="E130" s="324"/>
      <c r="F130" s="324"/>
      <c r="G130" s="324"/>
      <c r="H130" s="323"/>
      <c r="I130" s="324"/>
      <c r="J130" s="196">
        <f t="shared" si="23"/>
        <v>0</v>
      </c>
      <c r="K130" s="196"/>
      <c r="L130" s="196"/>
      <c r="M130" s="196"/>
      <c r="N130" s="196"/>
      <c r="O130" s="196"/>
      <c r="P130" s="547"/>
      <c r="Q130" s="547"/>
      <c r="R130" s="547"/>
      <c r="S130" s="547"/>
      <c r="T130" s="547"/>
      <c r="U130" s="547"/>
      <c r="V130" s="547"/>
    </row>
    <row r="131" spans="1:22" s="1" customFormat="1" ht="12.75" thickBot="1">
      <c r="A131" s="815"/>
      <c r="B131" s="204" t="s">
        <v>250</v>
      </c>
      <c r="C131" s="595" t="s">
        <v>249</v>
      </c>
      <c r="D131" s="325">
        <f t="shared" si="22"/>
        <v>0</v>
      </c>
      <c r="E131" s="284"/>
      <c r="F131" s="325"/>
      <c r="G131" s="284"/>
      <c r="H131" s="339"/>
      <c r="I131" s="284"/>
      <c r="J131" s="206">
        <f t="shared" si="23"/>
        <v>0</v>
      </c>
      <c r="K131" s="284"/>
      <c r="L131" s="325"/>
      <c r="M131" s="214"/>
      <c r="N131" s="339"/>
      <c r="O131" s="214"/>
    </row>
    <row r="132" spans="1:22" s="1" customFormat="1" ht="12.75" thickBot="1">
      <c r="A132" s="815"/>
      <c r="B132" s="182" t="s">
        <v>251</v>
      </c>
      <c r="C132" s="182" t="s">
        <v>88</v>
      </c>
      <c r="D132" s="324">
        <f t="shared" si="22"/>
        <v>0</v>
      </c>
      <c r="E132" s="324"/>
      <c r="F132" s="324"/>
      <c r="G132" s="324"/>
      <c r="H132" s="324"/>
      <c r="I132" s="324"/>
      <c r="J132" s="196">
        <f t="shared" si="23"/>
        <v>0</v>
      </c>
      <c r="K132" s="196"/>
      <c r="L132" s="196"/>
      <c r="M132" s="196"/>
      <c r="N132" s="196"/>
      <c r="O132" s="196"/>
    </row>
    <row r="133" spans="1:22" s="1" customFormat="1" ht="12.75" thickBot="1">
      <c r="A133" s="815"/>
      <c r="B133" s="207"/>
      <c r="C133" s="208" t="s">
        <v>89</v>
      </c>
      <c r="D133" s="326">
        <f t="shared" si="22"/>
        <v>0</v>
      </c>
      <c r="E133" s="327"/>
      <c r="F133" s="327"/>
      <c r="G133" s="326"/>
      <c r="H133" s="339"/>
      <c r="I133" s="327"/>
      <c r="J133" s="209">
        <f t="shared" si="23"/>
        <v>0</v>
      </c>
      <c r="K133" s="210"/>
      <c r="L133" s="210"/>
      <c r="M133" s="209"/>
      <c r="N133" s="339"/>
      <c r="O133" s="210"/>
    </row>
    <row r="134" spans="1:22" s="1" customFormat="1" ht="12.75" thickBot="1">
      <c r="A134" s="815"/>
      <c r="B134" s="207"/>
      <c r="C134" s="208" t="s">
        <v>90</v>
      </c>
      <c r="D134" s="326">
        <f t="shared" si="22"/>
        <v>0</v>
      </c>
      <c r="E134" s="327"/>
      <c r="F134" s="327"/>
      <c r="G134" s="327"/>
      <c r="H134" s="339"/>
      <c r="I134" s="326"/>
      <c r="J134" s="209">
        <f t="shared" si="23"/>
        <v>0</v>
      </c>
      <c r="K134" s="210"/>
      <c r="L134" s="210"/>
      <c r="M134" s="210"/>
      <c r="N134" s="699"/>
      <c r="O134" s="209"/>
    </row>
    <row r="135" spans="1:22" s="1" customFormat="1" ht="12.75" thickBot="1">
      <c r="A135" s="815"/>
      <c r="B135" s="207"/>
      <c r="C135" s="208" t="s">
        <v>91</v>
      </c>
      <c r="D135" s="326">
        <f t="shared" si="22"/>
        <v>0</v>
      </c>
      <c r="E135" s="327"/>
      <c r="F135" s="327"/>
      <c r="G135" s="327"/>
      <c r="H135" s="327"/>
      <c r="I135" s="326"/>
      <c r="J135" s="209">
        <f t="shared" si="23"/>
        <v>0</v>
      </c>
      <c r="K135" s="210"/>
      <c r="L135" s="210"/>
      <c r="M135" s="210"/>
      <c r="N135" s="210"/>
      <c r="O135" s="209"/>
    </row>
    <row r="136" spans="1:22" s="1" customFormat="1" ht="12.75" thickBot="1">
      <c r="A136" s="815"/>
      <c r="B136" s="182" t="s">
        <v>252</v>
      </c>
      <c r="C136" s="182" t="s">
        <v>93</v>
      </c>
      <c r="D136" s="324">
        <f t="shared" si="22"/>
        <v>0</v>
      </c>
      <c r="E136" s="324"/>
      <c r="F136" s="324"/>
      <c r="G136" s="328"/>
      <c r="H136" s="328"/>
      <c r="I136" s="324"/>
      <c r="J136" s="196">
        <f t="shared" si="23"/>
        <v>0</v>
      </c>
      <c r="K136" s="196"/>
      <c r="L136" s="196"/>
      <c r="M136" s="211"/>
      <c r="N136" s="211"/>
      <c r="O136" s="196"/>
    </row>
    <row r="137" spans="1:22" s="1" customFormat="1" ht="12.75" thickBot="1">
      <c r="A137" s="815"/>
      <c r="B137" s="182" t="s">
        <v>253</v>
      </c>
      <c r="C137" s="182" t="s">
        <v>95</v>
      </c>
      <c r="D137" s="330">
        <f t="shared" si="22"/>
        <v>0</v>
      </c>
      <c r="E137" s="380"/>
      <c r="F137" s="331"/>
      <c r="G137" s="326"/>
      <c r="H137" s="326"/>
      <c r="I137" s="324"/>
      <c r="J137" s="213">
        <f t="shared" si="23"/>
        <v>0</v>
      </c>
      <c r="K137" s="383"/>
      <c r="L137" s="320"/>
      <c r="M137" s="209"/>
      <c r="N137" s="209"/>
      <c r="O137" s="196"/>
    </row>
    <row r="138" spans="1:22" s="1" customFormat="1" ht="12.75" thickBot="1">
      <c r="A138" s="815"/>
      <c r="B138" s="207"/>
      <c r="C138" s="208" t="s">
        <v>89</v>
      </c>
      <c r="D138" s="326">
        <f t="shared" si="22"/>
        <v>0</v>
      </c>
      <c r="E138" s="327"/>
      <c r="F138" s="327"/>
      <c r="G138" s="326"/>
      <c r="H138" s="326"/>
      <c r="I138" s="327"/>
      <c r="J138" s="209">
        <f t="shared" si="23"/>
        <v>0</v>
      </c>
      <c r="K138" s="210"/>
      <c r="L138" s="210"/>
      <c r="M138" s="209"/>
      <c r="N138" s="209"/>
      <c r="O138" s="210"/>
    </row>
    <row r="139" spans="1:22" s="1" customFormat="1" ht="12.75" thickBot="1">
      <c r="A139" s="815"/>
      <c r="B139" s="207"/>
      <c r="C139" s="208" t="s">
        <v>90</v>
      </c>
      <c r="D139" s="326">
        <f t="shared" si="22"/>
        <v>0</v>
      </c>
      <c r="E139" s="327"/>
      <c r="F139" s="327"/>
      <c r="G139" s="327"/>
      <c r="H139" s="326"/>
      <c r="I139" s="326"/>
      <c r="J139" s="209">
        <f t="shared" si="23"/>
        <v>0</v>
      </c>
      <c r="K139" s="210"/>
      <c r="L139" s="210"/>
      <c r="M139" s="210"/>
      <c r="N139" s="209"/>
      <c r="O139" s="209"/>
    </row>
    <row r="140" spans="1:22" s="1" customFormat="1" ht="12.75" thickBot="1">
      <c r="A140" s="815"/>
      <c r="B140" s="207"/>
      <c r="C140" s="208" t="s">
        <v>91</v>
      </c>
      <c r="D140" s="326">
        <f t="shared" si="22"/>
        <v>0</v>
      </c>
      <c r="E140" s="327"/>
      <c r="F140" s="327"/>
      <c r="G140" s="327"/>
      <c r="H140" s="327"/>
      <c r="I140" s="326"/>
      <c r="J140" s="209">
        <f t="shared" si="23"/>
        <v>0</v>
      </c>
      <c r="K140" s="210"/>
      <c r="L140" s="210"/>
      <c r="M140" s="210"/>
      <c r="N140" s="210"/>
      <c r="O140" s="209"/>
    </row>
    <row r="141" spans="1:22" s="1" customFormat="1" ht="12.75" thickBot="1">
      <c r="A141" s="815"/>
      <c r="B141" s="182" t="s">
        <v>254</v>
      </c>
      <c r="C141" s="182" t="s">
        <v>97</v>
      </c>
      <c r="D141" s="324">
        <f t="shared" si="22"/>
        <v>0</v>
      </c>
      <c r="E141" s="324"/>
      <c r="F141" s="324"/>
      <c r="G141" s="324"/>
      <c r="H141" s="324"/>
      <c r="I141" s="324"/>
      <c r="J141" s="196">
        <f t="shared" si="23"/>
        <v>0</v>
      </c>
      <c r="K141" s="196"/>
      <c r="L141" s="196"/>
      <c r="M141" s="196"/>
      <c r="N141" s="185"/>
      <c r="O141" s="196"/>
    </row>
    <row r="142" spans="1:22" s="1" customFormat="1" ht="12.75" thickBot="1">
      <c r="A142" s="815"/>
      <c r="B142" s="182" t="s">
        <v>255</v>
      </c>
      <c r="C142" s="182" t="s">
        <v>99</v>
      </c>
      <c r="D142" s="324">
        <f t="shared" si="22"/>
        <v>0</v>
      </c>
      <c r="E142" s="324"/>
      <c r="F142" s="324"/>
      <c r="G142" s="324"/>
      <c r="H142" s="323"/>
      <c r="I142" s="324"/>
      <c r="J142" s="196">
        <f t="shared" si="23"/>
        <v>0</v>
      </c>
      <c r="K142" s="196"/>
      <c r="L142" s="196"/>
      <c r="M142" s="196"/>
      <c r="N142" s="196"/>
      <c r="O142" s="196"/>
    </row>
    <row r="143" spans="1:22" s="91" customFormat="1" ht="12.75" customHeight="1" thickBot="1">
      <c r="A143" s="815"/>
      <c r="B143" s="257" t="s">
        <v>100</v>
      </c>
      <c r="C143" s="257" t="s">
        <v>101</v>
      </c>
      <c r="D143" s="617">
        <f>SUM(E143:I143)</f>
        <v>299812.7</v>
      </c>
      <c r="E143" s="386">
        <f>SUM(E144:E147)</f>
        <v>0</v>
      </c>
      <c r="F143" s="386">
        <f>SUM(F144:F147)</f>
        <v>99810</v>
      </c>
      <c r="G143" s="386">
        <f>SUM(G144:G147)</f>
        <v>4215.7</v>
      </c>
      <c r="H143" s="386">
        <f>SUM(H144:H147)</f>
        <v>73228.800000000003</v>
      </c>
      <c r="I143" s="617">
        <f>SUM(I144:I147)</f>
        <v>122558.20000000001</v>
      </c>
      <c r="J143" s="261">
        <f>SUM(K143:O143)</f>
        <v>297829.44299999997</v>
      </c>
      <c r="K143" s="386">
        <f>SUM(K144:K147)</f>
        <v>0</v>
      </c>
      <c r="L143" s="386">
        <f>SUM(L144:L147)</f>
        <v>101991.379</v>
      </c>
      <c r="M143" s="386">
        <f>SUM(M144:M147)</f>
        <v>2771.1669999999999</v>
      </c>
      <c r="N143" s="618">
        <f>SUM(N144:N147)</f>
        <v>66453.255999999994</v>
      </c>
      <c r="O143" s="261">
        <f>SUM(O144:O147)</f>
        <v>126613.641</v>
      </c>
      <c r="P143" s="556"/>
      <c r="Q143" s="556"/>
      <c r="R143" s="556"/>
      <c r="S143" s="556"/>
      <c r="T143" s="556"/>
      <c r="U143" s="556"/>
      <c r="V143" s="556"/>
    </row>
    <row r="144" spans="1:22" s="91" customFormat="1" ht="12.75" customHeight="1" thickBot="1">
      <c r="A144" s="815"/>
      <c r="B144" s="249" t="s">
        <v>102</v>
      </c>
      <c r="C144" s="250" t="s">
        <v>103</v>
      </c>
      <c r="D144" s="358">
        <f>SUM(E144:I144)</f>
        <v>67051.437000000005</v>
      </c>
      <c r="E144" s="252"/>
      <c r="F144" s="287"/>
      <c r="G144" s="287"/>
      <c r="H144" s="287"/>
      <c r="I144" s="288">
        <v>67051.437000000005</v>
      </c>
      <c r="J144" s="358">
        <f>SUM(K144:O144)</f>
        <v>87638.898000000001</v>
      </c>
      <c r="K144" s="252"/>
      <c r="L144" s="287"/>
      <c r="M144" s="287"/>
      <c r="N144" s="287"/>
      <c r="O144" s="288">
        <v>87638.898000000001</v>
      </c>
      <c r="P144" s="663"/>
      <c r="Q144" s="663"/>
      <c r="R144" s="663"/>
      <c r="S144" s="663"/>
      <c r="T144" s="663"/>
      <c r="U144" s="663"/>
      <c r="V144" s="663"/>
    </row>
    <row r="145" spans="1:27" s="91" customFormat="1" ht="12.75" customHeight="1" thickBot="1">
      <c r="A145" s="815"/>
      <c r="B145" s="249" t="s">
        <v>104</v>
      </c>
      <c r="C145" s="250" t="s">
        <v>206</v>
      </c>
      <c r="D145" s="358">
        <f>SUM(E145:I145)</f>
        <v>0</v>
      </c>
      <c r="E145" s="252"/>
      <c r="F145" s="287"/>
      <c r="G145" s="287"/>
      <c r="H145" s="287"/>
      <c r="I145" s="288"/>
      <c r="J145" s="358">
        <f>SUM(K145:O145)</f>
        <v>0</v>
      </c>
      <c r="K145" s="252"/>
      <c r="L145" s="287"/>
      <c r="M145" s="287"/>
      <c r="N145" s="287"/>
      <c r="O145" s="288"/>
      <c r="P145" s="663"/>
      <c r="Q145" s="663"/>
      <c r="R145" s="663"/>
      <c r="S145" s="663"/>
      <c r="T145" s="663"/>
      <c r="U145" s="663"/>
      <c r="V145" s="663"/>
      <c r="W145" s="637"/>
    </row>
    <row r="146" spans="1:27" s="91" customFormat="1" ht="12.75" customHeight="1" thickBot="1">
      <c r="A146" s="815"/>
      <c r="B146" s="249" t="s">
        <v>106</v>
      </c>
      <c r="C146" s="250" t="s">
        <v>105</v>
      </c>
      <c r="D146" s="358">
        <f>SUM(E146:I146)</f>
        <v>232761.26300000001</v>
      </c>
      <c r="E146" s="289"/>
      <c r="F146" s="290">
        <v>99810</v>
      </c>
      <c r="G146" s="290">
        <v>4215.7</v>
      </c>
      <c r="H146" s="290">
        <v>73228.800000000003</v>
      </c>
      <c r="I146" s="290">
        <v>55506.762999999999</v>
      </c>
      <c r="J146" s="358">
        <f>SUM(K146:O146)</f>
        <v>183764.37599999999</v>
      </c>
      <c r="K146" s="289"/>
      <c r="L146" s="290">
        <v>101991.379</v>
      </c>
      <c r="M146" s="290">
        <v>2771.1669999999999</v>
      </c>
      <c r="N146" s="236">
        <v>45239.20199999999</v>
      </c>
      <c r="O146" s="290">
        <v>33762.627999999997</v>
      </c>
      <c r="P146" s="664"/>
      <c r="Q146" s="664"/>
      <c r="R146" s="664"/>
      <c r="S146" s="664"/>
      <c r="T146" s="664"/>
      <c r="U146" s="664"/>
      <c r="V146" s="664"/>
      <c r="AA146" s="637"/>
    </row>
    <row r="147" spans="1:27" s="91" customFormat="1" ht="12.75" customHeight="1" thickBot="1">
      <c r="A147" s="815"/>
      <c r="B147" s="249" t="s">
        <v>207</v>
      </c>
      <c r="C147" s="250" t="s">
        <v>107</v>
      </c>
      <c r="D147" s="358">
        <f>SUM(E147:I147)</f>
        <v>0</v>
      </c>
      <c r="E147" s="289"/>
      <c r="F147" s="290"/>
      <c r="G147" s="290"/>
      <c r="H147" s="290"/>
      <c r="I147" s="290"/>
      <c r="J147" s="604">
        <f>SUM(K147:O147)</f>
        <v>26426.169000000002</v>
      </c>
      <c r="K147" s="289"/>
      <c r="L147" s="290"/>
      <c r="M147" s="290"/>
      <c r="N147" s="290">
        <v>21214.054</v>
      </c>
      <c r="O147" s="290">
        <v>5212.1149999999998</v>
      </c>
      <c r="P147" s="664"/>
      <c r="Q147" s="664"/>
      <c r="R147" s="664"/>
      <c r="S147" s="664"/>
      <c r="T147" s="664"/>
      <c r="U147" s="664"/>
      <c r="V147" s="664"/>
    </row>
    <row r="148" spans="1:27" s="91" customFormat="1" ht="12.75" customHeight="1" thickBot="1">
      <c r="A148" s="815"/>
      <c r="B148" s="249" t="s">
        <v>108</v>
      </c>
      <c r="C148" s="249" t="s">
        <v>169</v>
      </c>
      <c r="D148" s="291">
        <f>D150/1.18/D143</f>
        <v>1.1986666961549117</v>
      </c>
      <c r="E148" s="596">
        <v>0.68011999999999995</v>
      </c>
      <c r="F148" s="596">
        <v>0.68011999999999995</v>
      </c>
      <c r="G148" s="596">
        <v>0.88302999999999998</v>
      </c>
      <c r="H148" s="596">
        <v>1.42133</v>
      </c>
      <c r="I148" s="596">
        <v>2.0129100000000002</v>
      </c>
      <c r="J148" s="291">
        <f>J150/1.18/J143</f>
        <v>1.1460514325643754</v>
      </c>
      <c r="K148" s="596">
        <v>0.66868666791925613</v>
      </c>
      <c r="L148" s="596">
        <v>0.66868666791925613</v>
      </c>
      <c r="M148" s="596">
        <v>0.85993933602702388</v>
      </c>
      <c r="N148" s="596">
        <v>1.4110162280084515</v>
      </c>
      <c r="O148" s="596">
        <v>2.0117060610252131</v>
      </c>
      <c r="P148" s="665"/>
      <c r="Q148" s="665"/>
      <c r="R148" s="665"/>
      <c r="S148" s="665"/>
      <c r="T148" s="665"/>
      <c r="U148" s="665"/>
      <c r="V148" s="665"/>
    </row>
    <row r="149" spans="1:27" s="91" customFormat="1" ht="12.75" customHeight="1" thickBot="1">
      <c r="A149" s="815"/>
      <c r="B149" s="249" t="s">
        <v>205</v>
      </c>
      <c r="C149" s="249" t="s">
        <v>169</v>
      </c>
      <c r="D149" s="291"/>
      <c r="E149" s="289"/>
      <c r="F149" s="290"/>
      <c r="G149" s="290"/>
      <c r="H149" s="290"/>
      <c r="I149" s="598">
        <v>1.2726900000000001</v>
      </c>
      <c r="J149" s="291"/>
      <c r="K149" s="289"/>
      <c r="L149" s="290"/>
      <c r="M149" s="290"/>
      <c r="N149" s="290"/>
      <c r="O149" s="598">
        <v>1.2726899998217687</v>
      </c>
      <c r="P149" s="666"/>
      <c r="Q149" s="666"/>
      <c r="R149" s="666"/>
      <c r="S149" s="666"/>
      <c r="T149" s="666"/>
      <c r="U149" s="666"/>
      <c r="V149" s="666"/>
    </row>
    <row r="150" spans="1:27" s="91" customFormat="1" ht="12.75" customHeight="1" thickBot="1">
      <c r="A150" s="816"/>
      <c r="B150" s="249" t="s">
        <v>109</v>
      </c>
      <c r="C150" s="292" t="s">
        <v>166</v>
      </c>
      <c r="D150" s="285">
        <f>SUM(E150:I150)</f>
        <v>424063.08831765479</v>
      </c>
      <c r="E150" s="597">
        <f>E143*E148*1.18</f>
        <v>0</v>
      </c>
      <c r="F150" s="597">
        <f>(F143*F148-F195)*1.18</f>
        <v>64315.672299439997</v>
      </c>
      <c r="G150" s="597">
        <f>G143*G148*1.18</f>
        <v>4392.6556937799996</v>
      </c>
      <c r="H150" s="597">
        <f>H143*H148*1.18</f>
        <v>122817.10255872</v>
      </c>
      <c r="I150" s="597">
        <f>(I148*I146+I147*I148+I149*I144+I149*I145)*1.18</f>
        <v>232537.65776571483</v>
      </c>
      <c r="J150" s="285">
        <f>SUM(K150:O150)</f>
        <v>402766.87457579991</v>
      </c>
      <c r="K150" s="261">
        <f>K143*K148*1.18</f>
        <v>0</v>
      </c>
      <c r="L150" s="597">
        <f>(L143*L148-L195)*1.18</f>
        <v>65177.684538399983</v>
      </c>
      <c r="M150" s="597">
        <f>M143*M148*1.18</f>
        <v>2811.9819017999994</v>
      </c>
      <c r="N150" s="597">
        <f>N143*N148*1.18</f>
        <v>110644.61469159999</v>
      </c>
      <c r="O150" s="597">
        <f>(O148*O146+O147*O148+O149*O144+O149*O145)*1.18</f>
        <v>224132.59344399997</v>
      </c>
      <c r="P150" s="667"/>
      <c r="Q150" s="667"/>
      <c r="R150" s="667"/>
      <c r="S150" s="667"/>
      <c r="T150" s="667"/>
      <c r="U150" s="667"/>
      <c r="V150" s="667"/>
      <c r="W150" s="92"/>
    </row>
    <row r="151" spans="1:27" s="91" customFormat="1" ht="12.75" customHeight="1" thickTop="1" thickBot="1">
      <c r="A151" s="814" t="s">
        <v>111</v>
      </c>
      <c r="B151" s="293" t="s">
        <v>112</v>
      </c>
      <c r="C151" s="294" t="s">
        <v>113</v>
      </c>
      <c r="D151" s="379">
        <f>SUM(E151:I151)</f>
        <v>87640</v>
      </c>
      <c r="E151" s="222">
        <f>E44-E34-E46</f>
        <v>0</v>
      </c>
      <c r="F151" s="222">
        <f t="shared" ref="F151:I151" si="24">F44-F34-F46</f>
        <v>15210</v>
      </c>
      <c r="G151" s="222">
        <f t="shared" si="24"/>
        <v>7200</v>
      </c>
      <c r="H151" s="222">
        <f t="shared" si="24"/>
        <v>30700</v>
      </c>
      <c r="I151" s="222">
        <f t="shared" si="24"/>
        <v>34530</v>
      </c>
      <c r="J151" s="685">
        <f>SUM(K151:O151)</f>
        <v>95225.65499999997</v>
      </c>
      <c r="K151" s="222">
        <f>K44-K34-K46</f>
        <v>0</v>
      </c>
      <c r="L151" s="335">
        <f>L44-L34-L46</f>
        <v>15785.814399999988</v>
      </c>
      <c r="M151" s="335">
        <f>M44-M34-M46</f>
        <v>6826.2979999999934</v>
      </c>
      <c r="N151" s="335">
        <f>N44-N34-N46</f>
        <v>30718.339600000007</v>
      </c>
      <c r="O151" s="335">
        <f>O44-O34-O46</f>
        <v>41895.20299999998</v>
      </c>
      <c r="P151" s="557"/>
      <c r="Q151" s="557"/>
      <c r="R151" s="557"/>
      <c r="S151" s="557"/>
      <c r="T151" s="557"/>
      <c r="U151" s="557"/>
      <c r="V151" s="557"/>
    </row>
    <row r="152" spans="1:27" s="91" customFormat="1" ht="12.75" customHeight="1" thickBot="1">
      <c r="A152" s="815"/>
      <c r="B152" s="296" t="s">
        <v>114</v>
      </c>
      <c r="C152" s="257" t="s">
        <v>115</v>
      </c>
      <c r="D152" s="346">
        <f t="shared" ref="D152:J152" si="25">IF(D44=0,0,D151/D44*100)</f>
        <v>22.379408084573939</v>
      </c>
      <c r="E152" s="346">
        <f t="shared" si="25"/>
        <v>0</v>
      </c>
      <c r="F152" s="346">
        <f t="shared" si="25"/>
        <v>5.19911126303196</v>
      </c>
      <c r="G152" s="346">
        <f t="shared" si="25"/>
        <v>6.0642303059909546</v>
      </c>
      <c r="H152" s="346">
        <f t="shared" si="25"/>
        <v>10.618428334255672</v>
      </c>
      <c r="I152" s="346">
        <f t="shared" si="25"/>
        <v>21.747071419574254</v>
      </c>
      <c r="J152" s="346">
        <f t="shared" si="25"/>
        <v>24.049496865382729</v>
      </c>
      <c r="K152" s="346">
        <f>IF(K44=0,0,K151/K44*100)</f>
        <v>0</v>
      </c>
      <c r="L152" s="346">
        <f t="shared" ref="L152:O152" si="26">IF(L44=0,0,L151/L44*100)</f>
        <v>5.1356388061524871</v>
      </c>
      <c r="M152" s="346">
        <f t="shared" si="26"/>
        <v>6.0394908303324186</v>
      </c>
      <c r="N152" s="346">
        <f t="shared" si="26"/>
        <v>10.458990911737205</v>
      </c>
      <c r="O152" s="346">
        <f t="shared" si="26"/>
        <v>24.529896142521395</v>
      </c>
      <c r="P152" s="668"/>
      <c r="Q152" s="668"/>
      <c r="R152" s="668"/>
      <c r="S152" s="668"/>
      <c r="T152" s="668"/>
      <c r="U152" s="668"/>
      <c r="V152" s="668"/>
    </row>
    <row r="153" spans="1:27" s="91" customFormat="1" ht="12.75" customHeight="1" thickBot="1">
      <c r="A153" s="815"/>
      <c r="B153" s="296" t="s">
        <v>116</v>
      </c>
      <c r="C153" s="257" t="s">
        <v>117</v>
      </c>
      <c r="D153" s="346">
        <f t="shared" ref="D153:J153" si="27">IF(D45=0,0,D151/D45*100)</f>
        <v>22.379408084573939</v>
      </c>
      <c r="E153" s="346">
        <f t="shared" si="27"/>
        <v>0</v>
      </c>
      <c r="F153" s="346">
        <f t="shared" si="27"/>
        <v>5.19911126303196</v>
      </c>
      <c r="G153" s="346">
        <f t="shared" si="27"/>
        <v>6.2895993612562426</v>
      </c>
      <c r="H153" s="346">
        <f t="shared" si="27"/>
        <v>11.684163733573664</v>
      </c>
      <c r="I153" s="346">
        <f t="shared" si="27"/>
        <v>21.98128185312455</v>
      </c>
      <c r="J153" s="346">
        <f t="shared" si="27"/>
        <v>24.049496865382729</v>
      </c>
      <c r="K153" s="346">
        <f>IF(K45=0,0,K151/K45*100)</f>
        <v>0</v>
      </c>
      <c r="L153" s="346">
        <f t="shared" ref="L153:O153" si="28">IF(L45=0,0,L151/L45*100)</f>
        <v>5.1356388061524889</v>
      </c>
      <c r="M153" s="346">
        <f t="shared" si="28"/>
        <v>6.2416068636318114</v>
      </c>
      <c r="N153" s="346">
        <f t="shared" si="28"/>
        <v>11.461784806965571</v>
      </c>
      <c r="O153" s="346">
        <f t="shared" si="28"/>
        <v>24.862317018802873</v>
      </c>
      <c r="P153" s="668"/>
      <c r="Q153" s="668"/>
      <c r="R153" s="668"/>
      <c r="S153" s="668"/>
      <c r="T153" s="668"/>
      <c r="U153" s="668"/>
      <c r="V153" s="668"/>
    </row>
    <row r="154" spans="1:27" s="91" customFormat="1" ht="12.75" customHeight="1" thickBot="1">
      <c r="A154" s="815"/>
      <c r="B154" s="297" t="s">
        <v>118</v>
      </c>
      <c r="C154" s="298" t="s">
        <v>209</v>
      </c>
      <c r="D154" s="299">
        <f>SUM(E154:I154)</f>
        <v>4695.7451549599982</v>
      </c>
      <c r="E154" s="299"/>
      <c r="F154" s="289">
        <f>3979.44504657627*1.18</f>
        <v>4695.7451549599982</v>
      </c>
      <c r="G154" s="299"/>
      <c r="H154" s="299"/>
      <c r="I154" s="299"/>
      <c r="J154" s="299">
        <f>SUM(K154:O154)</f>
        <v>4780.6799777999995</v>
      </c>
      <c r="K154" s="299">
        <v>0</v>
      </c>
      <c r="L154" s="289">
        <f>4051.42371*1.18</f>
        <v>4780.6799777999995</v>
      </c>
      <c r="M154" s="299">
        <v>0</v>
      </c>
      <c r="N154" s="299">
        <v>0</v>
      </c>
      <c r="O154" s="299">
        <v>0</v>
      </c>
      <c r="P154" s="669"/>
      <c r="Q154" s="669"/>
      <c r="R154" s="669"/>
      <c r="S154" s="669"/>
      <c r="T154" s="669"/>
      <c r="U154" s="669"/>
      <c r="V154" s="669"/>
    </row>
    <row r="155" spans="1:27" ht="12.75" customHeight="1" thickBot="1">
      <c r="A155" s="815"/>
      <c r="B155" s="300" t="s">
        <v>120</v>
      </c>
      <c r="C155" s="249" t="s">
        <v>121</v>
      </c>
      <c r="D155" s="443">
        <f>SUM(E155:I155)</f>
        <v>87640</v>
      </c>
      <c r="E155" s="251">
        <f>E151</f>
        <v>0</v>
      </c>
      <c r="F155" s="251">
        <f>F151</f>
        <v>15210</v>
      </c>
      <c r="G155" s="251">
        <f>G151</f>
        <v>7200</v>
      </c>
      <c r="H155" s="251">
        <f>H151</f>
        <v>30700</v>
      </c>
      <c r="I155" s="251">
        <f>I151</f>
        <v>34530</v>
      </c>
      <c r="J155" s="251">
        <f>SUM(K155:O155)</f>
        <v>95225.65499999997</v>
      </c>
      <c r="K155" s="251">
        <f>K151</f>
        <v>0</v>
      </c>
      <c r="L155" s="251">
        <f>L151</f>
        <v>15785.814399999988</v>
      </c>
      <c r="M155" s="251">
        <f>M151</f>
        <v>6826.2979999999934</v>
      </c>
      <c r="N155" s="251">
        <f>N151</f>
        <v>30718.339600000007</v>
      </c>
      <c r="O155" s="251">
        <f>O151</f>
        <v>41895.20299999998</v>
      </c>
      <c r="P155" s="648"/>
      <c r="Q155" s="648"/>
      <c r="R155" s="648"/>
      <c r="S155" s="648"/>
      <c r="T155" s="648"/>
      <c r="U155" s="648"/>
      <c r="V155" s="648"/>
    </row>
    <row r="156" spans="1:27" ht="12.75" customHeight="1" thickBot="1">
      <c r="A156" s="815"/>
      <c r="B156" s="300" t="s">
        <v>122</v>
      </c>
      <c r="C156" s="249" t="s">
        <v>170</v>
      </c>
      <c r="D156" s="444">
        <f>D157/1.18/D155</f>
        <v>1.6162362461873325</v>
      </c>
      <c r="E156" s="341">
        <v>1.6162362461873325</v>
      </c>
      <c r="F156" s="341">
        <v>1.6162362461873325</v>
      </c>
      <c r="G156" s="341">
        <v>1.6162362461873325</v>
      </c>
      <c r="H156" s="341">
        <v>1.6162362461873325</v>
      </c>
      <c r="I156" s="341">
        <v>1.6162362461873325</v>
      </c>
      <c r="J156" s="301">
        <f>J157/1.18/J155</f>
        <v>1.3847144936445961</v>
      </c>
      <c r="K156" s="341">
        <v>1.3847144936445961</v>
      </c>
      <c r="L156" s="341">
        <v>1.3847144936445961</v>
      </c>
      <c r="M156" s="341">
        <v>1.3847144936445961</v>
      </c>
      <c r="N156" s="341">
        <v>1.3847144936445961</v>
      </c>
      <c r="O156" s="341">
        <v>1.3847144936445961</v>
      </c>
      <c r="P156" s="562"/>
      <c r="Q156" s="562"/>
      <c r="R156" s="562"/>
      <c r="S156" s="562"/>
      <c r="T156" s="562"/>
      <c r="U156" s="562"/>
      <c r="V156" s="562"/>
    </row>
    <row r="157" spans="1:27" ht="12.75" customHeight="1" thickBot="1">
      <c r="A157" s="815"/>
      <c r="B157" s="300" t="s">
        <v>124</v>
      </c>
      <c r="C157" s="249" t="s">
        <v>168</v>
      </c>
      <c r="D157" s="443">
        <f>SUM(E157:I157)</f>
        <v>167143.39464671223</v>
      </c>
      <c r="E157" s="357">
        <f>E155*E156*1.18</f>
        <v>0</v>
      </c>
      <c r="F157" s="357">
        <f>F155*F156*1.18</f>
        <v>29007.884899321005</v>
      </c>
      <c r="G157" s="357">
        <f>G155*G156*1.18</f>
        <v>13731.543147607576</v>
      </c>
      <c r="H157" s="357">
        <f>H155*H156*1.18</f>
        <v>58549.774254382304</v>
      </c>
      <c r="I157" s="357">
        <f>I155*I156*1.18</f>
        <v>65854.19234540133</v>
      </c>
      <c r="J157" s="251">
        <f>SUM(K157:O157)</f>
        <v>155595.20668145394</v>
      </c>
      <c r="K157" s="251">
        <f>K155*K156*1.18</f>
        <v>0</v>
      </c>
      <c r="L157" s="251">
        <f>L155*L156*1.18</f>
        <v>25793.438272522999</v>
      </c>
      <c r="M157" s="251">
        <f>M155*M156*1.18</f>
        <v>11153.91905867379</v>
      </c>
      <c r="N157" s="251">
        <f>N155*N156*1.18</f>
        <v>50192.633476483767</v>
      </c>
      <c r="O157" s="251">
        <f>O155*O156*1.18</f>
        <v>68455.215873773384</v>
      </c>
      <c r="P157" s="648"/>
      <c r="Q157" s="648"/>
      <c r="R157" s="648"/>
      <c r="S157" s="648"/>
      <c r="T157" s="648"/>
      <c r="U157" s="648"/>
      <c r="V157" s="648"/>
    </row>
    <row r="158" spans="1:27" ht="12.75" customHeight="1" thickBot="1">
      <c r="A158" s="815"/>
      <c r="B158" s="302" t="s">
        <v>126</v>
      </c>
      <c r="C158" s="298" t="s">
        <v>127</v>
      </c>
      <c r="D158" s="445">
        <f>SUM(E158:I158)</f>
        <v>84410</v>
      </c>
      <c r="E158" s="226">
        <f>E160*E45</f>
        <v>0</v>
      </c>
      <c r="F158" s="226">
        <f>F160*F45/100</f>
        <v>15210</v>
      </c>
      <c r="G158" s="226">
        <f>G160*G45/100</f>
        <v>7200</v>
      </c>
      <c r="H158" s="226">
        <f>H160*H45/100</f>
        <v>30699.999999999996</v>
      </c>
      <c r="I158" s="226">
        <f>I160*I45/100</f>
        <v>31300</v>
      </c>
      <c r="J158" s="696">
        <f>SUM(K158:O158)</f>
        <v>85328.722999999998</v>
      </c>
      <c r="K158" s="237">
        <v>0</v>
      </c>
      <c r="L158" s="237">
        <v>15785.814399999988</v>
      </c>
      <c r="M158" s="237">
        <v>6826.2979999999934</v>
      </c>
      <c r="N158" s="686">
        <v>30718.339600000007</v>
      </c>
      <c r="O158" s="237">
        <v>31998.271000000001</v>
      </c>
      <c r="P158" s="670"/>
      <c r="Q158" s="670"/>
      <c r="R158" s="670"/>
      <c r="S158" s="670"/>
      <c r="T158" s="670"/>
      <c r="U158" s="670"/>
      <c r="V158" s="670"/>
    </row>
    <row r="159" spans="1:27" ht="12.75" customHeight="1" thickBot="1">
      <c r="A159" s="815"/>
      <c r="B159" s="302" t="s">
        <v>128</v>
      </c>
      <c r="C159" s="303" t="s">
        <v>129</v>
      </c>
      <c r="D159" s="345">
        <f t="shared" ref="D159:I159" si="29">IF(D44=0,0,D158/D44*100)</f>
        <v>21.554607900717553</v>
      </c>
      <c r="E159" s="345">
        <f t="shared" si="29"/>
        <v>0</v>
      </c>
      <c r="F159" s="345">
        <f t="shared" si="29"/>
        <v>5.19911126303196</v>
      </c>
      <c r="G159" s="345">
        <f t="shared" si="29"/>
        <v>6.0642303059909546</v>
      </c>
      <c r="H159" s="345">
        <f t="shared" si="29"/>
        <v>10.618428334255672</v>
      </c>
      <c r="I159" s="345">
        <f t="shared" si="29"/>
        <v>19.712810177604233</v>
      </c>
      <c r="J159" s="345">
        <f t="shared" ref="J159:O159" si="30">IF(J44=0,0,J158/J44*100)</f>
        <v>21.549999906176666</v>
      </c>
      <c r="K159" s="345">
        <f>IF(K44=0,0,K158/K44*100)</f>
        <v>0</v>
      </c>
      <c r="L159" s="345">
        <f t="shared" si="30"/>
        <v>5.1356388061524871</v>
      </c>
      <c r="M159" s="345">
        <f t="shared" si="30"/>
        <v>6.0394908303324186</v>
      </c>
      <c r="N159" s="345">
        <f t="shared" si="30"/>
        <v>10.458990911737205</v>
      </c>
      <c r="O159" s="345">
        <f t="shared" si="30"/>
        <v>18.735182268248103</v>
      </c>
      <c r="P159" s="671"/>
      <c r="Q159" s="671"/>
      <c r="R159" s="671"/>
      <c r="S159" s="671"/>
      <c r="T159" s="671"/>
      <c r="U159" s="671"/>
      <c r="V159" s="671"/>
      <c r="W159" s="93"/>
      <c r="X159" s="93"/>
      <c r="Y159" s="93"/>
    </row>
    <row r="160" spans="1:27" ht="12.75" customHeight="1" thickBot="1">
      <c r="A160" s="815"/>
      <c r="B160" s="304" t="s">
        <v>130</v>
      </c>
      <c r="C160" s="298" t="s">
        <v>131</v>
      </c>
      <c r="D160" s="345">
        <f>IF(D45=0,0,D158/D45*100)</f>
        <v>21.554607900717553</v>
      </c>
      <c r="E160" s="317">
        <v>0</v>
      </c>
      <c r="F160" s="317">
        <v>5.19911126303196</v>
      </c>
      <c r="G160" s="317">
        <v>6.2895993612562426</v>
      </c>
      <c r="H160" s="317">
        <v>11.684163733573664</v>
      </c>
      <c r="I160" s="317">
        <v>19.925112134456946</v>
      </c>
      <c r="J160" s="345">
        <f>IF(J45=0,0,J158/J45*100)</f>
        <v>21.549999906176666</v>
      </c>
      <c r="K160" s="345">
        <f>IF(K45=0,0,K158/K45*100)</f>
        <v>0</v>
      </c>
      <c r="L160" s="345">
        <f t="shared" ref="L160:O160" si="31">IF(L45=0,0,L158/L45*100)</f>
        <v>5.1356388061524889</v>
      </c>
      <c r="M160" s="345">
        <f t="shared" si="31"/>
        <v>6.2416068636318114</v>
      </c>
      <c r="N160" s="345">
        <f t="shared" si="31"/>
        <v>11.461784806965571</v>
      </c>
      <c r="O160" s="345">
        <f t="shared" si="31"/>
        <v>18.989075137207635</v>
      </c>
      <c r="P160" s="671"/>
      <c r="Q160" s="671"/>
      <c r="R160" s="671"/>
      <c r="S160" s="671"/>
      <c r="T160" s="671"/>
      <c r="U160" s="671"/>
      <c r="V160" s="671"/>
      <c r="W160" s="93"/>
      <c r="X160" s="93"/>
      <c r="Y160" s="93"/>
    </row>
    <row r="161" spans="1:22" ht="12.75" customHeight="1" thickBot="1">
      <c r="A161" s="815"/>
      <c r="B161" s="305" t="s">
        <v>132</v>
      </c>
      <c r="C161" s="249" t="s">
        <v>133</v>
      </c>
      <c r="D161" s="443">
        <f>SUM(E161:I161)</f>
        <v>3230</v>
      </c>
      <c r="E161" s="251">
        <f>E151-E158</f>
        <v>0</v>
      </c>
      <c r="F161" s="251">
        <f>F151-F158</f>
        <v>0</v>
      </c>
      <c r="G161" s="251">
        <f>G151-G158</f>
        <v>0</v>
      </c>
      <c r="H161" s="251">
        <f>H151-H158</f>
        <v>0</v>
      </c>
      <c r="I161" s="251">
        <f>I151-I158</f>
        <v>3230</v>
      </c>
      <c r="J161" s="251">
        <f>SUM(K161:O161)</f>
        <v>9896.9319999999789</v>
      </c>
      <c r="K161" s="251">
        <f>K151-K158</f>
        <v>0</v>
      </c>
      <c r="L161" s="251">
        <f>L151-L158</f>
        <v>0</v>
      </c>
      <c r="M161" s="251">
        <f>M151-M158</f>
        <v>0</v>
      </c>
      <c r="N161" s="251">
        <f>N151-N158</f>
        <v>0</v>
      </c>
      <c r="O161" s="482">
        <f>O151-O158</f>
        <v>9896.9319999999789</v>
      </c>
      <c r="P161" s="672"/>
      <c r="Q161" s="672"/>
      <c r="R161" s="672"/>
      <c r="S161" s="672"/>
      <c r="T161" s="672"/>
      <c r="U161" s="672"/>
      <c r="V161" s="672"/>
    </row>
    <row r="162" spans="1:22" ht="12.75" customHeight="1" thickBot="1">
      <c r="A162" s="815"/>
      <c r="B162" s="305" t="s">
        <v>134</v>
      </c>
      <c r="C162" s="306" t="s">
        <v>135</v>
      </c>
      <c r="D162" s="347">
        <f>IF(D44=0,0,D161/D44*100)</f>
        <v>0.82480018385638776</v>
      </c>
      <c r="E162" s="347">
        <f t="shared" ref="E162:I162" si="32">IF(E44=0,0,E161/E44*100)</f>
        <v>0</v>
      </c>
      <c r="F162" s="347">
        <f t="shared" si="32"/>
        <v>0</v>
      </c>
      <c r="G162" s="347">
        <f t="shared" si="32"/>
        <v>0</v>
      </c>
      <c r="H162" s="347">
        <f t="shared" si="32"/>
        <v>0</v>
      </c>
      <c r="I162" s="347">
        <f t="shared" si="32"/>
        <v>2.0342612419700217</v>
      </c>
      <c r="J162" s="347">
        <f>IF(J44=0,0,J161/J44*100)</f>
        <v>2.4994969592060623</v>
      </c>
      <c r="K162" s="347">
        <f>IF(K44=0,0,K161/K44*100)</f>
        <v>0</v>
      </c>
      <c r="L162" s="347">
        <f t="shared" ref="L162:O162" si="33">IF(L44=0,0,L161/L44*100)</f>
        <v>0</v>
      </c>
      <c r="M162" s="347">
        <f t="shared" si="33"/>
        <v>0</v>
      </c>
      <c r="N162" s="347">
        <f t="shared" si="33"/>
        <v>0</v>
      </c>
      <c r="O162" s="347">
        <f t="shared" si="33"/>
        <v>5.7947138742732944</v>
      </c>
      <c r="P162" s="673"/>
      <c r="Q162" s="673"/>
      <c r="R162" s="673"/>
      <c r="S162" s="673"/>
      <c r="T162" s="673"/>
      <c r="U162" s="673"/>
      <c r="V162" s="673"/>
    </row>
    <row r="163" spans="1:22" ht="12.75" customHeight="1" thickBot="1">
      <c r="A163" s="850"/>
      <c r="B163" s="305" t="s">
        <v>136</v>
      </c>
      <c r="C163" s="306" t="s">
        <v>137</v>
      </c>
      <c r="D163" s="347">
        <f>IF(D45=0,0,D161/D45*100)</f>
        <v>0.82480018385638776</v>
      </c>
      <c r="E163" s="347">
        <f t="shared" ref="E163:O163" si="34">IF(E45=0,0,E161/E45*100)</f>
        <v>0</v>
      </c>
      <c r="F163" s="347">
        <f t="shared" si="34"/>
        <v>0</v>
      </c>
      <c r="G163" s="347">
        <f t="shared" si="34"/>
        <v>0</v>
      </c>
      <c r="H163" s="347">
        <f t="shared" si="34"/>
        <v>0</v>
      </c>
      <c r="I163" s="347">
        <f t="shared" si="34"/>
        <v>2.056169718667602</v>
      </c>
      <c r="J163" s="347">
        <f t="shared" si="34"/>
        <v>2.4994969592060623</v>
      </c>
      <c r="K163" s="347">
        <f t="shared" si="34"/>
        <v>0</v>
      </c>
      <c r="L163" s="347">
        <f t="shared" si="34"/>
        <v>0</v>
      </c>
      <c r="M163" s="347">
        <f t="shared" si="34"/>
        <v>0</v>
      </c>
      <c r="N163" s="347">
        <f t="shared" si="34"/>
        <v>0</v>
      </c>
      <c r="O163" s="347">
        <f t="shared" si="34"/>
        <v>5.8732418815952352</v>
      </c>
      <c r="P163" s="673"/>
      <c r="Q163" s="673"/>
      <c r="R163" s="673"/>
      <c r="S163" s="673"/>
      <c r="T163" s="673"/>
      <c r="U163" s="673"/>
      <c r="V163" s="673"/>
    </row>
    <row r="164" spans="1:22">
      <c r="A164" s="94" t="s">
        <v>210</v>
      </c>
      <c r="D164" s="95"/>
      <c r="E164" s="95"/>
      <c r="F164" s="601"/>
      <c r="G164" s="601"/>
      <c r="H164" s="601"/>
      <c r="I164" s="601"/>
      <c r="J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</row>
    <row r="165" spans="1:22" ht="12.75" thickBot="1">
      <c r="D165" s="95"/>
      <c r="E165" s="93"/>
      <c r="F165" s="342"/>
      <c r="G165" s="342"/>
      <c r="H165" s="342"/>
      <c r="I165" s="342"/>
      <c r="J165" s="348"/>
      <c r="K165" s="348"/>
      <c r="L165" s="342"/>
      <c r="M165" s="342"/>
      <c r="N165" s="342"/>
      <c r="O165" s="342"/>
      <c r="P165" s="342"/>
      <c r="Q165" s="342"/>
      <c r="R165" s="342"/>
      <c r="S165" s="342"/>
      <c r="T165" s="342"/>
      <c r="U165" s="342"/>
      <c r="V165" s="342"/>
    </row>
    <row r="166" spans="1:22" ht="12.75" customHeight="1">
      <c r="B166" s="838" t="s">
        <v>138</v>
      </c>
      <c r="C166" s="840" t="s">
        <v>139</v>
      </c>
      <c r="D166" s="842" t="s">
        <v>140</v>
      </c>
      <c r="E166" s="843"/>
      <c r="F166" s="843"/>
      <c r="G166" s="843"/>
      <c r="H166" s="843"/>
      <c r="I166" s="844"/>
      <c r="J166" s="842" t="s">
        <v>140</v>
      </c>
      <c r="K166" s="843"/>
      <c r="L166" s="843"/>
      <c r="M166" s="843"/>
      <c r="N166" s="843"/>
      <c r="O166" s="844"/>
      <c r="P166" s="674"/>
      <c r="Q166" s="674"/>
      <c r="R166" s="674"/>
      <c r="S166" s="674"/>
      <c r="T166" s="674"/>
      <c r="U166" s="674"/>
      <c r="V166" s="674"/>
    </row>
    <row r="167" spans="1:22">
      <c r="B167" s="839"/>
      <c r="C167" s="841"/>
      <c r="D167" s="96" t="s">
        <v>141</v>
      </c>
      <c r="E167" s="97"/>
      <c r="F167" s="97" t="s">
        <v>5</v>
      </c>
      <c r="G167" s="98" t="s">
        <v>74</v>
      </c>
      <c r="H167" s="98" t="s">
        <v>76</v>
      </c>
      <c r="I167" s="99" t="s">
        <v>8</v>
      </c>
      <c r="J167" s="96" t="s">
        <v>141</v>
      </c>
      <c r="K167" s="97"/>
      <c r="L167" s="97" t="s">
        <v>5</v>
      </c>
      <c r="M167" s="98" t="s">
        <v>74</v>
      </c>
      <c r="N167" s="98" t="s">
        <v>76</v>
      </c>
      <c r="O167" s="99" t="s">
        <v>8</v>
      </c>
      <c r="P167" s="674"/>
      <c r="Q167" s="674"/>
      <c r="R167" s="674"/>
      <c r="S167" s="674"/>
      <c r="T167" s="674"/>
      <c r="U167" s="674"/>
      <c r="V167" s="674"/>
    </row>
    <row r="168" spans="1:22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  <c r="P168" s="568"/>
      <c r="Q168" s="568"/>
      <c r="R168" s="568"/>
      <c r="S168" s="568"/>
      <c r="T168" s="568"/>
      <c r="U168" s="568"/>
      <c r="V168" s="568"/>
    </row>
    <row r="169" spans="1:22" ht="12.75">
      <c r="B169" s="106" t="s">
        <v>10</v>
      </c>
      <c r="C169" s="107" t="s">
        <v>142</v>
      </c>
      <c r="D169" s="34">
        <f>D174+D175+D176</f>
        <v>391610</v>
      </c>
      <c r="E169" s="35"/>
      <c r="F169" s="36">
        <f>F170+F174+F175+F176</f>
        <v>292550</v>
      </c>
      <c r="G169" s="36">
        <f>G170+G174+G175+G176</f>
        <v>114909</v>
      </c>
      <c r="H169" s="36">
        <f>H170+H174+H175+H176</f>
        <v>264780</v>
      </c>
      <c r="I169" s="37">
        <f>I170+I174+I175+I176</f>
        <v>158780</v>
      </c>
      <c r="J169" s="34">
        <f>J174+J175+J176</f>
        <v>395956.95299999998</v>
      </c>
      <c r="K169" s="35"/>
      <c r="L169" s="36">
        <f>L170+L174+L175+L176</f>
        <v>307377.81599999999</v>
      </c>
      <c r="M169" s="36">
        <f>M170+M174+M175+M176</f>
        <v>109367.63800000001</v>
      </c>
      <c r="N169" s="36">
        <f>N170+N174+N175+N176</f>
        <v>268624.8786</v>
      </c>
      <c r="O169" s="37">
        <f>O170+O174+O175+O176</f>
        <v>170792.41899999999</v>
      </c>
      <c r="P169" s="569"/>
      <c r="Q169" s="569"/>
      <c r="R169" s="569"/>
      <c r="S169" s="569"/>
      <c r="T169" s="569"/>
      <c r="U169" s="569"/>
      <c r="V169" s="569"/>
    </row>
    <row r="170" spans="1:22" ht="12.75">
      <c r="B170" s="108" t="s">
        <v>12</v>
      </c>
      <c r="C170" s="109" t="s">
        <v>143</v>
      </c>
      <c r="D170" s="675">
        <f t="shared" ref="D170:D177" si="35">SUM(F170:I170)</f>
        <v>439409</v>
      </c>
      <c r="E170" s="676"/>
      <c r="F170" s="676"/>
      <c r="G170" s="677">
        <f>SUM(G171:G173)</f>
        <v>56849</v>
      </c>
      <c r="H170" s="677">
        <f>SUM(H171:H173)</f>
        <v>223740</v>
      </c>
      <c r="I170" s="678">
        <f>SUM(I171:I173)</f>
        <v>158820</v>
      </c>
      <c r="J170" s="675">
        <f t="shared" ref="J170:J177" si="36">SUM(L170:O170)</f>
        <v>460205.79859999998</v>
      </c>
      <c r="K170" s="676"/>
      <c r="L170" s="676"/>
      <c r="M170" s="677">
        <f>SUM(M171:M173)</f>
        <v>61386.871000000006</v>
      </c>
      <c r="N170" s="677">
        <f>SUM(N171:N173)</f>
        <v>227983.9246</v>
      </c>
      <c r="O170" s="678">
        <f>SUM(O171:O173)</f>
        <v>170835.003</v>
      </c>
      <c r="P170" s="570"/>
      <c r="Q170" s="570"/>
      <c r="R170" s="570"/>
      <c r="S170" s="570"/>
      <c r="T170" s="570"/>
      <c r="U170" s="570"/>
      <c r="V170" s="570"/>
    </row>
    <row r="171" spans="1:22" ht="12.75">
      <c r="B171" s="114" t="s">
        <v>144</v>
      </c>
      <c r="C171" s="115" t="s">
        <v>145</v>
      </c>
      <c r="D171" s="42">
        <f t="shared" si="35"/>
        <v>177530</v>
      </c>
      <c r="E171" s="43"/>
      <c r="F171" s="44"/>
      <c r="G171" s="45">
        <f>G31-G49-G61-G73-G85-G97-G78-G109-G121-G54-G66-G90-G102-G114-G126</f>
        <v>56849</v>
      </c>
      <c r="H171" s="45">
        <f>H31-H49-H61-H73-H85-H97-H78-H54-H109-H66-H90-H102-H114-H121-H126</f>
        <v>120681</v>
      </c>
      <c r="I171" s="46"/>
      <c r="J171" s="42">
        <f t="shared" si="36"/>
        <v>189600.6226</v>
      </c>
      <c r="K171" s="43"/>
      <c r="L171" s="44"/>
      <c r="M171" s="45">
        <f>M31-M49-M61-M73-M85-M97-M78-M109-M121-M54-M66-M90-M102-M114-M126</f>
        <v>61386.871000000006</v>
      </c>
      <c r="N171" s="45">
        <f>N31-N49-N61-N73-N85-N97-N78-N54-N109-N66-N90-N102-N114-N121-N126</f>
        <v>128213.75159999999</v>
      </c>
      <c r="O171" s="46"/>
      <c r="P171" s="571"/>
      <c r="Q171" s="571"/>
      <c r="R171" s="571"/>
      <c r="S171" s="571"/>
      <c r="T171" s="571"/>
      <c r="U171" s="571"/>
      <c r="V171" s="571"/>
    </row>
    <row r="172" spans="1:22" ht="12.75">
      <c r="B172" s="116" t="s">
        <v>146</v>
      </c>
      <c r="C172" s="117" t="s">
        <v>6</v>
      </c>
      <c r="D172" s="42">
        <f t="shared" si="35"/>
        <v>103059</v>
      </c>
      <c r="E172" s="43"/>
      <c r="F172" s="44"/>
      <c r="G172" s="49"/>
      <c r="H172" s="45">
        <f>H32-H50-H62-H74-H86-H98-H110-H55-H67-H79-H91-H103-H115-H122-H127</f>
        <v>103059</v>
      </c>
      <c r="I172" s="50">
        <f>I32-I50-I55-I62-I67-I74-I79-I86-I91-I98-I103-I110-I115-I122-I127</f>
        <v>0</v>
      </c>
      <c r="J172" s="42">
        <f t="shared" si="36"/>
        <v>99770.17300000001</v>
      </c>
      <c r="K172" s="43"/>
      <c r="L172" s="44"/>
      <c r="M172" s="49"/>
      <c r="N172" s="45">
        <f>N32-N50-N62-N74-N86-N98-N110-N55-N67-N79-N91-N103-N115-N122-N127</f>
        <v>99770.17300000001</v>
      </c>
      <c r="O172" s="50">
        <f>O32-O50-O55-O62-O67-O74-O79-O86-O91-O98-O103-O110-O115-O122-O127</f>
        <v>0</v>
      </c>
      <c r="P172" s="572"/>
      <c r="Q172" s="572"/>
      <c r="R172" s="572"/>
      <c r="S172" s="572"/>
      <c r="T172" s="572"/>
      <c r="U172" s="572"/>
      <c r="V172" s="572"/>
    </row>
    <row r="173" spans="1:22" ht="12.75">
      <c r="B173" s="118" t="s">
        <v>147</v>
      </c>
      <c r="C173" s="119" t="s">
        <v>7</v>
      </c>
      <c r="D173" s="53">
        <f t="shared" si="35"/>
        <v>158820</v>
      </c>
      <c r="E173" s="54"/>
      <c r="F173" s="55"/>
      <c r="G173" s="56"/>
      <c r="H173" s="56"/>
      <c r="I173" s="57">
        <f>I33-I51-I87-I75-I99-I111-I56-I63-I68-I80-I92-I104-I116-I123-I128</f>
        <v>158820</v>
      </c>
      <c r="J173" s="53">
        <f t="shared" si="36"/>
        <v>170835.003</v>
      </c>
      <c r="K173" s="54"/>
      <c r="L173" s="55"/>
      <c r="M173" s="56"/>
      <c r="N173" s="56"/>
      <c r="O173" s="57">
        <f>O33-O51-O87-O75-O99-O111-O56-O63-O68-O80-O92-O104-O116-O123-O128</f>
        <v>170835.003</v>
      </c>
      <c r="P173" s="572"/>
      <c r="Q173" s="572"/>
      <c r="R173" s="572"/>
      <c r="S173" s="572"/>
      <c r="T173" s="572"/>
      <c r="U173" s="572"/>
      <c r="V173" s="572"/>
    </row>
    <row r="174" spans="1:22" ht="12.75">
      <c r="B174" s="120" t="s">
        <v>14</v>
      </c>
      <c r="C174" s="109" t="s">
        <v>148</v>
      </c>
      <c r="D174" s="110">
        <f t="shared" si="35"/>
        <v>234210</v>
      </c>
      <c r="E174" s="111"/>
      <c r="F174" s="111">
        <f>F28+E28</f>
        <v>192360</v>
      </c>
      <c r="G174" s="112">
        <f>G28</f>
        <v>38560</v>
      </c>
      <c r="H174" s="112">
        <f>H28</f>
        <v>3290</v>
      </c>
      <c r="I174" s="113">
        <f>I28</f>
        <v>0</v>
      </c>
      <c r="J174" s="110">
        <f t="shared" si="36"/>
        <v>288266.15099999995</v>
      </c>
      <c r="K174" s="111"/>
      <c r="L174" s="111">
        <f>L28+K28</f>
        <v>253749.571</v>
      </c>
      <c r="M174" s="112">
        <f>M28</f>
        <v>31617.643</v>
      </c>
      <c r="N174" s="112">
        <f>N28</f>
        <v>2898.9369999999999</v>
      </c>
      <c r="O174" s="113">
        <f>O28</f>
        <v>0</v>
      </c>
      <c r="P174" s="573"/>
      <c r="Q174" s="573"/>
      <c r="R174" s="573"/>
      <c r="S174" s="573"/>
      <c r="T174" s="573"/>
      <c r="U174" s="573"/>
      <c r="V174" s="573"/>
    </row>
    <row r="175" spans="1:22" ht="12.75">
      <c r="B175" s="121" t="s">
        <v>16</v>
      </c>
      <c r="C175" s="122" t="s">
        <v>149</v>
      </c>
      <c r="D175" s="123">
        <f t="shared" si="35"/>
        <v>156000</v>
      </c>
      <c r="E175" s="124"/>
      <c r="F175" s="125">
        <f>F23+F24+F25+E23+E24+E25</f>
        <v>100190</v>
      </c>
      <c r="G175" s="125">
        <f>G23+G24+G25</f>
        <v>18100</v>
      </c>
      <c r="H175" s="125">
        <f>H23+H24+H25</f>
        <v>37750</v>
      </c>
      <c r="I175" s="126">
        <f>I23+I24+I25</f>
        <v>-40</v>
      </c>
      <c r="J175" s="123">
        <f t="shared" si="36"/>
        <v>107456.60200000001</v>
      </c>
      <c r="K175" s="124"/>
      <c r="L175" s="125">
        <f>L23+L24+L25+K23+K24+K25</f>
        <v>53628.245000000003</v>
      </c>
      <c r="M175" s="125">
        <f>M23+M24+M25</f>
        <v>16128.924000000001</v>
      </c>
      <c r="N175" s="125">
        <f>N23+N24+N25</f>
        <v>37742.017</v>
      </c>
      <c r="O175" s="126">
        <f>O23+O24+O25</f>
        <v>-42.583999999999996</v>
      </c>
      <c r="P175" s="573"/>
      <c r="Q175" s="573"/>
      <c r="R175" s="573"/>
      <c r="S175" s="573"/>
      <c r="T175" s="573"/>
      <c r="U175" s="573"/>
      <c r="V175" s="573"/>
    </row>
    <row r="176" spans="1:22" ht="13.5" thickBot="1">
      <c r="B176" s="127" t="s">
        <v>20</v>
      </c>
      <c r="C176" s="128" t="s">
        <v>150</v>
      </c>
      <c r="D176" s="129">
        <f t="shared" si="35"/>
        <v>1400</v>
      </c>
      <c r="E176" s="130"/>
      <c r="F176" s="131">
        <f>F29+E29</f>
        <v>0</v>
      </c>
      <c r="G176" s="131">
        <f>G29</f>
        <v>1400</v>
      </c>
      <c r="H176" s="131">
        <f>H29</f>
        <v>0</v>
      </c>
      <c r="I176" s="132">
        <f>I29</f>
        <v>0</v>
      </c>
      <c r="J176" s="129">
        <f t="shared" si="36"/>
        <v>234.19999999999976</v>
      </c>
      <c r="K176" s="130"/>
      <c r="L176" s="131">
        <f>L29+K29</f>
        <v>0</v>
      </c>
      <c r="M176" s="131">
        <f>M29</f>
        <v>234.19999999999976</v>
      </c>
      <c r="N176" s="131">
        <f>N29</f>
        <v>0</v>
      </c>
      <c r="O176" s="132">
        <f>O29</f>
        <v>0</v>
      </c>
      <c r="P176" s="573"/>
      <c r="Q176" s="573"/>
      <c r="R176" s="573"/>
      <c r="S176" s="573"/>
      <c r="T176" s="573"/>
      <c r="U176" s="573"/>
      <c r="V176" s="573"/>
    </row>
    <row r="177" spans="1:22" ht="12.75">
      <c r="B177" s="133" t="s">
        <v>26</v>
      </c>
      <c r="C177" s="134" t="s">
        <v>151</v>
      </c>
      <c r="D177" s="135">
        <f t="shared" si="35"/>
        <v>87639.999999999985</v>
      </c>
      <c r="E177" s="136"/>
      <c r="F177" s="136">
        <f>F169-F180-G171-H171</f>
        <v>15210</v>
      </c>
      <c r="G177" s="136">
        <f>G169-G180-H172-I172</f>
        <v>7200</v>
      </c>
      <c r="H177" s="136">
        <f>H169-H180-I173</f>
        <v>30700</v>
      </c>
      <c r="I177" s="137">
        <f>I169-I180</f>
        <v>34529.999999999985</v>
      </c>
      <c r="J177" s="135">
        <f t="shared" si="36"/>
        <v>95225.65499999997</v>
      </c>
      <c r="K177" s="136"/>
      <c r="L177" s="136">
        <f>L169-L180-M171-N171</f>
        <v>15785.814399999974</v>
      </c>
      <c r="M177" s="136">
        <f>M169-M180-N172-O172</f>
        <v>6826.2979999999952</v>
      </c>
      <c r="N177" s="136">
        <f>N169-N180-O173</f>
        <v>30718.339600000007</v>
      </c>
      <c r="O177" s="137">
        <f>O169-O180</f>
        <v>41895.202999999994</v>
      </c>
      <c r="P177" s="574"/>
      <c r="Q177" s="574"/>
      <c r="R177" s="574"/>
      <c r="S177" s="574"/>
      <c r="T177" s="574"/>
      <c r="U177" s="574"/>
      <c r="V177" s="574"/>
    </row>
    <row r="178" spans="1:22" ht="13.5" thickBot="1">
      <c r="B178" s="138"/>
      <c r="C178" s="139" t="s">
        <v>152</v>
      </c>
      <c r="D178" s="441">
        <f>IF(D169=0,0,D177/D169*100)</f>
        <v>22.379408084573935</v>
      </c>
      <c r="E178" s="140"/>
      <c r="F178" s="441">
        <f t="shared" ref="F178:I178" si="37">IF(F169=0,0,F177/F169*100)</f>
        <v>5.19911126303196</v>
      </c>
      <c r="G178" s="441">
        <f t="shared" si="37"/>
        <v>6.2658277419523278</v>
      </c>
      <c r="H178" s="441">
        <f t="shared" si="37"/>
        <v>11.594531309011256</v>
      </c>
      <c r="I178" s="441">
        <f t="shared" si="37"/>
        <v>21.747071419574244</v>
      </c>
      <c r="J178" s="441">
        <f>IF(J169=0,0,J177/J169*100)</f>
        <v>24.049496865382729</v>
      </c>
      <c r="K178" s="140"/>
      <c r="L178" s="441">
        <f t="shared" ref="L178:O178" si="38">IF(L169=0,0,L177/L169*100)</f>
        <v>5.1356388061524827</v>
      </c>
      <c r="M178" s="441">
        <f t="shared" si="38"/>
        <v>6.2416068636318132</v>
      </c>
      <c r="N178" s="441">
        <f t="shared" si="38"/>
        <v>11.435403809243455</v>
      </c>
      <c r="O178" s="441">
        <f t="shared" si="38"/>
        <v>24.529896142521405</v>
      </c>
      <c r="P178" s="575"/>
      <c r="Q178" s="575"/>
      <c r="R178" s="575"/>
      <c r="S178" s="575"/>
      <c r="T178" s="575"/>
      <c r="U178" s="575"/>
      <c r="V178" s="575"/>
    </row>
    <row r="179" spans="1:22" ht="26.25" thickBot="1">
      <c r="B179" s="141" t="s">
        <v>38</v>
      </c>
      <c r="C179" s="142" t="s">
        <v>153</v>
      </c>
      <c r="D179" s="143">
        <f t="shared" ref="D179:D184" si="39">SUM(F179:I179)</f>
        <v>0</v>
      </c>
      <c r="E179" s="144"/>
      <c r="F179" s="144"/>
      <c r="G179" s="145"/>
      <c r="H179" s="145"/>
      <c r="I179" s="146"/>
      <c r="J179" s="143">
        <f t="shared" ref="J179:J184" si="40">SUM(L179:O179)</f>
        <v>0</v>
      </c>
      <c r="K179" s="144"/>
      <c r="L179" s="144"/>
      <c r="M179" s="145"/>
      <c r="N179" s="145"/>
      <c r="O179" s="146"/>
      <c r="P179" s="574"/>
      <c r="Q179" s="574"/>
      <c r="R179" s="574"/>
      <c r="S179" s="574"/>
      <c r="T179" s="574"/>
      <c r="U179" s="574"/>
      <c r="V179" s="574"/>
    </row>
    <row r="180" spans="1:22" ht="13.5" thickBot="1">
      <c r="B180" s="147" t="s">
        <v>52</v>
      </c>
      <c r="C180" s="148" t="s">
        <v>154</v>
      </c>
      <c r="D180" s="143">
        <f t="shared" si="39"/>
        <v>303970</v>
      </c>
      <c r="E180" s="144"/>
      <c r="F180" s="682">
        <f>F143+E143</f>
        <v>99810</v>
      </c>
      <c r="G180" s="682">
        <f>G143+G194</f>
        <v>4650</v>
      </c>
      <c r="H180" s="682">
        <f>H143+H194</f>
        <v>75260</v>
      </c>
      <c r="I180" s="683">
        <f>I143+I194</f>
        <v>124250.00000000001</v>
      </c>
      <c r="J180" s="143">
        <f t="shared" si="40"/>
        <v>300731.29800000001</v>
      </c>
      <c r="K180" s="144"/>
      <c r="L180" s="682">
        <f>L143+K143</f>
        <v>101991.379</v>
      </c>
      <c r="M180" s="682">
        <f>M143+M194</f>
        <v>2771.1669999999999</v>
      </c>
      <c r="N180" s="682">
        <f>N143+N194</f>
        <v>67071.535999999993</v>
      </c>
      <c r="O180" s="683">
        <f>O143+O194</f>
        <v>128897.216</v>
      </c>
      <c r="P180" s="574"/>
      <c r="Q180" s="574"/>
      <c r="R180" s="574"/>
      <c r="S180" s="574"/>
      <c r="T180" s="574"/>
      <c r="U180" s="574"/>
      <c r="V180" s="574"/>
    </row>
    <row r="181" spans="1:22" ht="12.75">
      <c r="B181" s="149" t="s">
        <v>54</v>
      </c>
      <c r="C181" s="150" t="s">
        <v>155</v>
      </c>
      <c r="D181" s="151">
        <f t="shared" si="39"/>
        <v>0</v>
      </c>
      <c r="E181" s="152"/>
      <c r="F181" s="152"/>
      <c r="G181" s="153"/>
      <c r="H181" s="153"/>
      <c r="I181" s="154"/>
      <c r="J181" s="151">
        <f t="shared" si="40"/>
        <v>0</v>
      </c>
      <c r="K181" s="152"/>
      <c r="L181" s="152"/>
      <c r="M181" s="153"/>
      <c r="N181" s="153"/>
      <c r="O181" s="154"/>
      <c r="P181" s="573"/>
      <c r="Q181" s="573"/>
      <c r="R181" s="573"/>
      <c r="S181" s="573"/>
      <c r="T181" s="573"/>
      <c r="U181" s="573"/>
      <c r="V181" s="573"/>
    </row>
    <row r="182" spans="1:22" ht="12.75">
      <c r="B182" s="155" t="s">
        <v>156</v>
      </c>
      <c r="C182" s="156" t="s">
        <v>157</v>
      </c>
      <c r="D182" s="157">
        <f t="shared" si="39"/>
        <v>0</v>
      </c>
      <c r="E182" s="158"/>
      <c r="F182" s="159"/>
      <c r="G182" s="159"/>
      <c r="H182" s="159"/>
      <c r="I182" s="160"/>
      <c r="J182" s="157">
        <f t="shared" si="40"/>
        <v>0</v>
      </c>
      <c r="K182" s="158"/>
      <c r="L182" s="159"/>
      <c r="M182" s="159"/>
      <c r="N182" s="159"/>
      <c r="O182" s="160"/>
      <c r="P182" s="577"/>
      <c r="Q182" s="577"/>
      <c r="R182" s="577"/>
      <c r="S182" s="577"/>
      <c r="T182" s="577"/>
      <c r="U182" s="577"/>
      <c r="V182" s="577"/>
    </row>
    <row r="183" spans="1:22" ht="12.75">
      <c r="B183" s="161" t="s">
        <v>158</v>
      </c>
      <c r="C183" s="162" t="s">
        <v>159</v>
      </c>
      <c r="D183" s="163">
        <f t="shared" si="39"/>
        <v>0</v>
      </c>
      <c r="E183" s="164"/>
      <c r="F183" s="164"/>
      <c r="G183" s="165"/>
      <c r="H183" s="165"/>
      <c r="I183" s="166"/>
      <c r="J183" s="163">
        <f t="shared" si="40"/>
        <v>0</v>
      </c>
      <c r="K183" s="164"/>
      <c r="L183" s="164"/>
      <c r="M183" s="165"/>
      <c r="N183" s="165"/>
      <c r="O183" s="166"/>
      <c r="P183" s="577"/>
      <c r="Q183" s="577"/>
      <c r="R183" s="577"/>
      <c r="S183" s="577"/>
      <c r="T183" s="577"/>
      <c r="U183" s="577"/>
      <c r="V183" s="577"/>
    </row>
    <row r="184" spans="1:22" ht="12.75">
      <c r="B184" s="167" t="s">
        <v>56</v>
      </c>
      <c r="C184" s="168" t="s">
        <v>160</v>
      </c>
      <c r="D184" s="110">
        <f t="shared" si="39"/>
        <v>0</v>
      </c>
      <c r="E184" s="111"/>
      <c r="F184" s="111"/>
      <c r="G184" s="112"/>
      <c r="H184" s="112"/>
      <c r="I184" s="113"/>
      <c r="J184" s="110">
        <f t="shared" si="40"/>
        <v>0</v>
      </c>
      <c r="K184" s="111"/>
      <c r="L184" s="111"/>
      <c r="M184" s="112"/>
      <c r="N184" s="112"/>
      <c r="O184" s="113"/>
      <c r="P184" s="573"/>
      <c r="Q184" s="573"/>
      <c r="R184" s="573"/>
      <c r="S184" s="573"/>
      <c r="T184" s="573"/>
      <c r="U184" s="573"/>
      <c r="V184" s="573"/>
    </row>
    <row r="185" spans="1:22" ht="13.5" thickBot="1">
      <c r="B185" s="169" t="s">
        <v>58</v>
      </c>
      <c r="C185" s="170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  <c r="P185" s="573"/>
      <c r="Q185" s="573"/>
      <c r="R185" s="573"/>
      <c r="S185" s="573"/>
      <c r="T185" s="573"/>
      <c r="U185" s="573"/>
      <c r="V185" s="573"/>
    </row>
    <row r="188" spans="1:22" ht="12.75">
      <c r="A188" s="832" t="s">
        <v>211</v>
      </c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  <c r="P188" s="639"/>
      <c r="Q188" s="639"/>
      <c r="R188" s="639"/>
      <c r="S188" s="639"/>
      <c r="T188" s="639"/>
      <c r="U188" s="639"/>
      <c r="V188" s="639"/>
    </row>
    <row r="189" spans="1:22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</row>
    <row r="190" spans="1:22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579"/>
      <c r="N190" s="579"/>
      <c r="O190" s="579"/>
      <c r="P190" s="579"/>
      <c r="Q190" s="579"/>
      <c r="R190" s="579"/>
      <c r="S190" s="579"/>
      <c r="T190" s="579"/>
      <c r="U190" s="579"/>
      <c r="V190" s="579"/>
    </row>
    <row r="191" spans="1:22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</row>
    <row r="194" spans="1:22">
      <c r="A194" s="506"/>
      <c r="B194" s="507"/>
      <c r="C194" s="506" t="s">
        <v>193</v>
      </c>
      <c r="D194" s="506"/>
      <c r="E194" s="506"/>
      <c r="F194" s="506"/>
      <c r="G194" s="509">
        <v>434.3</v>
      </c>
      <c r="H194" s="509">
        <v>2031.2</v>
      </c>
      <c r="I194" s="509">
        <v>1691.8</v>
      </c>
      <c r="J194" s="506"/>
      <c r="K194" s="506"/>
      <c r="L194" s="506"/>
      <c r="M194" s="506"/>
      <c r="N194" s="506">
        <v>618.28</v>
      </c>
      <c r="O194" s="506">
        <v>2283.5749999999998</v>
      </c>
      <c r="P194" s="634"/>
      <c r="Q194" s="634"/>
      <c r="R194" s="634"/>
      <c r="S194" s="634"/>
      <c r="T194" s="634"/>
      <c r="U194" s="634"/>
      <c r="V194" s="634"/>
    </row>
    <row r="195" spans="1:22">
      <c r="A195" s="506"/>
      <c r="B195" s="507"/>
      <c r="C195" s="506" t="s">
        <v>196</v>
      </c>
      <c r="D195" s="506"/>
      <c r="E195" s="506"/>
      <c r="F195" s="509">
        <v>13377.970166576273</v>
      </c>
      <c r="G195" s="506"/>
      <c r="H195" s="506"/>
      <c r="I195" s="506"/>
      <c r="J195" s="506"/>
      <c r="K195" s="506"/>
      <c r="L195" s="697">
        <v>12964.949499999999</v>
      </c>
      <c r="M195" s="506"/>
      <c r="N195" s="506"/>
      <c r="O195" s="506"/>
      <c r="P195" s="634"/>
      <c r="Q195" s="634"/>
      <c r="R195" s="634"/>
      <c r="S195" s="634"/>
      <c r="T195" s="634"/>
      <c r="U195" s="634"/>
      <c r="V195" s="634"/>
    </row>
    <row r="196" spans="1:22">
      <c r="A196" s="634"/>
      <c r="B196" s="635"/>
      <c r="C196" s="634"/>
      <c r="D196" s="634"/>
      <c r="E196" s="634"/>
      <c r="F196" s="636"/>
      <c r="G196" s="634"/>
      <c r="H196" s="634"/>
      <c r="I196" s="634"/>
      <c r="J196" s="634"/>
      <c r="K196" s="634"/>
      <c r="L196" s="636"/>
      <c r="M196" s="634"/>
      <c r="N196" s="634"/>
      <c r="O196" s="634"/>
      <c r="P196" s="634"/>
      <c r="Q196" s="634"/>
      <c r="R196" s="634"/>
      <c r="S196" s="634"/>
      <c r="T196" s="634"/>
      <c r="U196" s="634"/>
      <c r="V196" s="634"/>
    </row>
    <row r="197" spans="1:22">
      <c r="A197" s="634"/>
      <c r="B197" s="635"/>
      <c r="C197" s="634"/>
      <c r="D197" s="634"/>
      <c r="E197" s="634"/>
      <c r="F197" s="636"/>
      <c r="G197" s="634"/>
      <c r="H197" s="634"/>
      <c r="I197" s="634"/>
      <c r="J197" s="634"/>
      <c r="K197" s="634"/>
      <c r="L197" s="636"/>
      <c r="M197" s="634"/>
      <c r="N197" s="634"/>
      <c r="O197" s="634"/>
      <c r="P197" s="634"/>
      <c r="Q197" s="634"/>
      <c r="R197" s="634"/>
      <c r="S197" s="634"/>
      <c r="T197" s="634"/>
      <c r="U197" s="634"/>
      <c r="V197" s="634"/>
    </row>
    <row r="198" spans="1:22">
      <c r="A198" s="634"/>
      <c r="B198" s="635"/>
      <c r="C198" s="634"/>
      <c r="D198" s="634"/>
      <c r="E198" s="634"/>
      <c r="F198" s="636"/>
      <c r="G198" s="634"/>
      <c r="H198" s="634"/>
      <c r="I198" s="634"/>
      <c r="J198" s="634"/>
      <c r="K198" s="634"/>
      <c r="L198" s="636"/>
      <c r="M198" s="634"/>
      <c r="N198" s="634"/>
      <c r="O198" s="634"/>
      <c r="P198" s="634"/>
      <c r="Q198" s="634"/>
      <c r="R198" s="634"/>
      <c r="S198" s="634"/>
      <c r="T198" s="634"/>
      <c r="U198" s="634"/>
      <c r="V198" s="634"/>
    </row>
    <row r="199" spans="1:22">
      <c r="A199" s="634"/>
      <c r="B199" s="635"/>
      <c r="C199" s="634"/>
      <c r="D199" s="634"/>
      <c r="E199" s="634"/>
      <c r="F199" s="636"/>
      <c r="G199" s="634"/>
      <c r="H199" s="634"/>
      <c r="I199" s="634"/>
      <c r="J199" s="634"/>
      <c r="K199" s="634"/>
      <c r="L199" s="636"/>
      <c r="M199" s="636"/>
      <c r="N199" s="636"/>
      <c r="O199" s="636"/>
      <c r="P199" s="636"/>
      <c r="Q199" s="636"/>
      <c r="R199" s="636"/>
      <c r="S199" s="636"/>
      <c r="T199" s="636"/>
      <c r="U199" s="636"/>
      <c r="V199" s="636"/>
    </row>
    <row r="200" spans="1:22">
      <c r="A200" s="634"/>
      <c r="B200" s="635"/>
      <c r="C200" s="634"/>
      <c r="D200" s="634"/>
      <c r="E200" s="634"/>
      <c r="F200" s="636"/>
      <c r="G200" s="634"/>
      <c r="H200" s="634"/>
      <c r="I200" s="634"/>
      <c r="J200" s="634"/>
      <c r="K200" s="634"/>
      <c r="L200" s="636"/>
      <c r="M200" s="634"/>
      <c r="N200" s="634"/>
      <c r="O200" s="634"/>
      <c r="P200" s="634"/>
      <c r="Q200" s="634"/>
      <c r="R200" s="634"/>
      <c r="S200" s="634"/>
      <c r="T200" s="634"/>
      <c r="U200" s="634"/>
      <c r="V200" s="634"/>
    </row>
    <row r="201" spans="1:22">
      <c r="A201" s="634"/>
      <c r="B201" s="635"/>
      <c r="C201" s="634"/>
      <c r="D201" s="634"/>
      <c r="E201" s="634"/>
      <c r="F201" s="636"/>
      <c r="G201" s="634"/>
      <c r="H201" s="634"/>
      <c r="I201" s="634"/>
      <c r="J201" s="634"/>
      <c r="K201" s="634"/>
      <c r="L201" s="636"/>
      <c r="M201" s="634"/>
      <c r="N201" s="634"/>
      <c r="O201" s="634"/>
      <c r="P201" s="634"/>
      <c r="Q201" s="634"/>
      <c r="R201" s="634"/>
      <c r="S201" s="634"/>
      <c r="T201" s="634"/>
      <c r="U201" s="634"/>
      <c r="V201" s="634"/>
    </row>
    <row r="202" spans="1:22">
      <c r="A202" s="634"/>
      <c r="B202" s="635"/>
      <c r="C202" s="634"/>
      <c r="D202" s="634"/>
      <c r="E202" s="634"/>
      <c r="F202" s="636"/>
      <c r="G202" s="634"/>
      <c r="H202" s="634"/>
      <c r="I202" s="634"/>
      <c r="J202" s="634"/>
      <c r="K202" s="634"/>
      <c r="L202" s="636"/>
      <c r="M202" s="634"/>
      <c r="N202" s="634"/>
      <c r="O202" s="634"/>
      <c r="P202" s="634"/>
      <c r="Q202" s="634"/>
      <c r="R202" s="634"/>
      <c r="S202" s="634"/>
      <c r="T202" s="634"/>
      <c r="U202" s="634"/>
      <c r="V202" s="634"/>
    </row>
    <row r="203" spans="1:22">
      <c r="G203" s="629"/>
      <c r="H203" s="629"/>
      <c r="I203" s="629"/>
    </row>
    <row r="245" spans="6:8" hidden="1"/>
    <row r="246" spans="6:8" hidden="1"/>
    <row r="247" spans="6:8" ht="12.75" hidden="1" thickBot="1">
      <c r="F247" s="333">
        <f>(F255-F257-F312)*0.3</f>
        <v>0</v>
      </c>
      <c r="G247" s="259"/>
      <c r="H247" s="259"/>
    </row>
    <row r="248" spans="6:8" ht="12.75" hidden="1" thickBot="1">
      <c r="F248" s="333">
        <f>(F255-F257-F312)*0.7</f>
        <v>0</v>
      </c>
      <c r="G248" s="333">
        <f>G255-G257-G312</f>
        <v>0</v>
      </c>
      <c r="H248" s="259"/>
    </row>
    <row r="249" spans="6:8" ht="12.75" hidden="1" thickBot="1">
      <c r="F249" s="259"/>
      <c r="G249" s="260"/>
      <c r="H249" s="333">
        <f>H255-H257-H312</f>
        <v>0</v>
      </c>
    </row>
    <row r="250" spans="6:8" hidden="1"/>
  </sheetData>
  <mergeCells count="25">
    <mergeCell ref="A188:O188"/>
    <mergeCell ref="K4:L4"/>
    <mergeCell ref="H4:H5"/>
    <mergeCell ref="B3:B5"/>
    <mergeCell ref="B166:B167"/>
    <mergeCell ref="C166:C167"/>
    <mergeCell ref="J166:O166"/>
    <mergeCell ref="J4:J5"/>
    <mergeCell ref="I4:I5"/>
    <mergeCell ref="G4:G5"/>
    <mergeCell ref="D166:I166"/>
    <mergeCell ref="A30:A43"/>
    <mergeCell ref="A3:A5"/>
    <mergeCell ref="A6:A29"/>
    <mergeCell ref="E4:F4"/>
    <mergeCell ref="A151:A163"/>
    <mergeCell ref="A46:A150"/>
    <mergeCell ref="A1:O1"/>
    <mergeCell ref="M4:M5"/>
    <mergeCell ref="N4:N5"/>
    <mergeCell ref="O4:O5"/>
    <mergeCell ref="C3:C5"/>
    <mergeCell ref="D3:I3"/>
    <mergeCell ref="J3:O3"/>
    <mergeCell ref="D4:D5"/>
  </mergeCells>
  <phoneticPr fontId="26" type="noConversion"/>
  <pageMargins left="0.27559055118110237" right="0.27559055118110237" top="0.74803149606299213" bottom="0.74803149606299213" header="0.15748031496062992" footer="0.19685039370078741"/>
  <pageSetup paperSize="9" scale="67" orientation="landscape" r:id="rId1"/>
  <headerFooter alignWithMargins="0"/>
  <rowBreaks count="2" manualBreakCount="2">
    <brk id="56" max="14" man="1"/>
    <brk id="112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206"/>
  <sheetViews>
    <sheetView view="pageBreakPreview" zoomScale="90" zoomScaleSheetLayoutView="90" workbookViewId="0">
      <pane xSplit="3" ySplit="5" topLeftCell="D123" activePane="bottomRight" state="frozen"/>
      <selection pane="topRight" activeCell="D1" sqref="D1"/>
      <selection pane="bottomLeft" activeCell="A63" sqref="A63"/>
      <selection pane="bottomRight" activeCell="J44" sqref="J44:O46"/>
    </sheetView>
  </sheetViews>
  <sheetFormatPr defaultRowHeight="12" outlineLevelCol="1"/>
  <cols>
    <col min="1" max="1" width="3" style="1" customWidth="1"/>
    <col min="2" max="2" width="6.140625" style="2" customWidth="1"/>
    <col min="3" max="3" width="58.42578125" style="1" customWidth="1"/>
    <col min="4" max="4" width="11.28515625" style="1" customWidth="1" outlineLevel="1"/>
    <col min="5" max="5" width="10.5703125" style="1" customWidth="1" outlineLevel="1"/>
    <col min="6" max="6" width="11.85546875" style="1" customWidth="1" outlineLevel="1"/>
    <col min="7" max="7" width="11.140625" style="1" customWidth="1" outlineLevel="1"/>
    <col min="8" max="8" width="11.7109375" style="1" customWidth="1" outlineLevel="1"/>
    <col min="9" max="9" width="11.85546875" style="1" customWidth="1" outlineLevel="1"/>
    <col min="10" max="10" width="11.85546875" style="1" customWidth="1"/>
    <col min="11" max="11" width="11.140625" style="1" customWidth="1"/>
    <col min="12" max="12" width="11.28515625" style="1" customWidth="1"/>
    <col min="13" max="13" width="10.28515625" style="1" customWidth="1"/>
    <col min="14" max="14" width="11.42578125" style="1" bestFit="1" customWidth="1"/>
    <col min="15" max="15" width="11.5703125" style="1" customWidth="1"/>
    <col min="16" max="16" width="16.140625" style="1" customWidth="1"/>
    <col min="17" max="17" width="11.7109375" style="1" customWidth="1"/>
    <col min="18" max="19" width="9.85546875" style="1" bestFit="1" customWidth="1"/>
    <col min="20" max="20" width="9.42578125" style="1" bestFit="1" customWidth="1"/>
    <col min="21" max="16384" width="9.140625" style="1"/>
  </cols>
  <sheetData>
    <row r="1" spans="1:15" ht="15.75">
      <c r="A1" s="817" t="s">
        <v>221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" customHeight="1" thickBot="1">
      <c r="A3" s="856"/>
      <c r="B3" s="857" t="s">
        <v>0</v>
      </c>
      <c r="C3" s="858" t="s">
        <v>1</v>
      </c>
      <c r="D3" s="824" t="s">
        <v>2</v>
      </c>
      <c r="E3" s="825"/>
      <c r="F3" s="825"/>
      <c r="G3" s="825"/>
      <c r="H3" s="825"/>
      <c r="I3" s="826"/>
      <c r="J3" s="827" t="s">
        <v>3</v>
      </c>
      <c r="K3" s="828"/>
      <c r="L3" s="828"/>
      <c r="M3" s="828"/>
      <c r="N3" s="828"/>
      <c r="O3" s="829"/>
    </row>
    <row r="4" spans="1:15" s="3" customFormat="1" ht="12.75" customHeight="1" thickTop="1" thickBot="1">
      <c r="A4" s="856"/>
      <c r="B4" s="857"/>
      <c r="C4" s="858"/>
      <c r="D4" s="830" t="s">
        <v>4</v>
      </c>
      <c r="E4" s="835" t="s">
        <v>5</v>
      </c>
      <c r="F4" s="835"/>
      <c r="G4" s="835" t="s">
        <v>6</v>
      </c>
      <c r="H4" s="835" t="s">
        <v>7</v>
      </c>
      <c r="I4" s="820" t="s">
        <v>8</v>
      </c>
      <c r="J4" s="831" t="s">
        <v>4</v>
      </c>
      <c r="K4" s="833" t="s">
        <v>5</v>
      </c>
      <c r="L4" s="834"/>
      <c r="M4" s="818" t="s">
        <v>6</v>
      </c>
      <c r="N4" s="818" t="s">
        <v>7</v>
      </c>
      <c r="O4" s="820" t="s">
        <v>8</v>
      </c>
    </row>
    <row r="5" spans="1:15" s="6" customFormat="1" ht="13.5" thickTop="1" thickBot="1">
      <c r="A5" s="856"/>
      <c r="B5" s="857"/>
      <c r="C5" s="858"/>
      <c r="D5" s="831"/>
      <c r="E5" s="86">
        <v>220</v>
      </c>
      <c r="F5" s="86">
        <v>110</v>
      </c>
      <c r="G5" s="818"/>
      <c r="H5" s="818"/>
      <c r="I5" s="846"/>
      <c r="J5" s="845"/>
      <c r="K5" s="87">
        <v>220</v>
      </c>
      <c r="L5" s="242">
        <v>110</v>
      </c>
      <c r="M5" s="819"/>
      <c r="N5" s="819"/>
      <c r="O5" s="821"/>
    </row>
    <row r="6" spans="1:15" ht="13.5" thickTop="1" thickBot="1">
      <c r="A6" s="862" t="s">
        <v>9</v>
      </c>
      <c r="B6" s="179" t="s">
        <v>10</v>
      </c>
      <c r="C6" s="179" t="s">
        <v>11</v>
      </c>
      <c r="D6" s="352">
        <f t="shared" ref="D6:I6" si="0">SUM(D7:D9,D12,D14)</f>
        <v>363490</v>
      </c>
      <c r="E6" s="353">
        <f t="shared" si="0"/>
        <v>0</v>
      </c>
      <c r="F6" s="353">
        <f t="shared" si="0"/>
        <v>291740</v>
      </c>
      <c r="G6" s="353">
        <f t="shared" si="0"/>
        <v>45810</v>
      </c>
      <c r="H6" s="353">
        <f t="shared" si="0"/>
        <v>25930</v>
      </c>
      <c r="I6" s="353">
        <f t="shared" si="0"/>
        <v>10</v>
      </c>
      <c r="J6" s="244">
        <f t="shared" ref="J6:O6" si="1">SUM(J7:J9,J12,J14)</f>
        <v>416549.23300000001</v>
      </c>
      <c r="K6" s="245">
        <f t="shared" si="1"/>
        <v>0</v>
      </c>
      <c r="L6" s="245">
        <f t="shared" si="1"/>
        <v>354296.32499999995</v>
      </c>
      <c r="M6" s="245">
        <f t="shared" si="1"/>
        <v>37918.472000000002</v>
      </c>
      <c r="N6" s="245">
        <f t="shared" si="1"/>
        <v>24326.620999999999</v>
      </c>
      <c r="O6" s="245">
        <f t="shared" si="1"/>
        <v>7.8150000000000004</v>
      </c>
    </row>
    <row r="7" spans="1:15" ht="13.5" thickTop="1" thickBot="1">
      <c r="A7" s="862"/>
      <c r="B7" s="182" t="s">
        <v>12</v>
      </c>
      <c r="C7" s="182" t="s">
        <v>13</v>
      </c>
      <c r="D7" s="354">
        <f>SUM(E7:I7)</f>
        <v>0</v>
      </c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247">
        <f>SUM(K7:O7)</f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</row>
    <row r="8" spans="1:15" ht="13.5" thickTop="1" thickBot="1">
      <c r="A8" s="862"/>
      <c r="B8" s="182" t="s">
        <v>14</v>
      </c>
      <c r="C8" s="182" t="s">
        <v>15</v>
      </c>
      <c r="D8" s="354">
        <f>SUM(E8:I8)</f>
        <v>191170</v>
      </c>
      <c r="E8" s="356"/>
      <c r="F8" s="356">
        <v>156070</v>
      </c>
      <c r="G8" s="356">
        <v>12080</v>
      </c>
      <c r="H8" s="356">
        <v>23010</v>
      </c>
      <c r="I8" s="356">
        <v>10</v>
      </c>
      <c r="J8" s="622">
        <f>SUM(K8:O8)</f>
        <v>183330.72700000001</v>
      </c>
      <c r="K8" s="333"/>
      <c r="L8" s="333">
        <v>149620.948</v>
      </c>
      <c r="M8" s="333">
        <v>12236.179</v>
      </c>
      <c r="N8" s="333">
        <v>21465.785</v>
      </c>
      <c r="O8" s="333">
        <v>7.8150000000000004</v>
      </c>
    </row>
    <row r="9" spans="1:15" ht="13.5" thickTop="1" thickBot="1">
      <c r="A9" s="862"/>
      <c r="B9" s="182" t="s">
        <v>16</v>
      </c>
      <c r="C9" s="182" t="s">
        <v>17</v>
      </c>
      <c r="D9" s="354">
        <f t="shared" ref="D9:I9" si="2">SUM(D10:D11)</f>
        <v>8250</v>
      </c>
      <c r="E9" s="355">
        <f t="shared" si="2"/>
        <v>0</v>
      </c>
      <c r="F9" s="355">
        <f t="shared" si="2"/>
        <v>8250</v>
      </c>
      <c r="G9" s="355">
        <f t="shared" si="2"/>
        <v>0</v>
      </c>
      <c r="H9" s="355">
        <f t="shared" si="2"/>
        <v>0</v>
      </c>
      <c r="I9" s="355">
        <f t="shared" si="2"/>
        <v>0</v>
      </c>
      <c r="J9" s="247">
        <f t="shared" ref="J9:O9" si="3">SUM(J10:J11)</f>
        <v>6528.8980000000001</v>
      </c>
      <c r="K9" s="248">
        <f t="shared" si="3"/>
        <v>0</v>
      </c>
      <c r="L9" s="248">
        <f t="shared" si="3"/>
        <v>6528.8980000000001</v>
      </c>
      <c r="M9" s="248">
        <f t="shared" si="3"/>
        <v>0</v>
      </c>
      <c r="N9" s="248">
        <f t="shared" si="3"/>
        <v>0</v>
      </c>
      <c r="O9" s="248">
        <f t="shared" si="3"/>
        <v>0</v>
      </c>
    </row>
    <row r="10" spans="1:15" ht="13.5" thickTop="1" thickBot="1">
      <c r="A10" s="862"/>
      <c r="B10" s="186" t="s">
        <v>18</v>
      </c>
      <c r="C10" s="187" t="s">
        <v>192</v>
      </c>
      <c r="D10" s="357">
        <f>SUM(F10:I10)</f>
        <v>6540</v>
      </c>
      <c r="E10" s="358"/>
      <c r="F10" s="360">
        <v>6540</v>
      </c>
      <c r="G10" s="358"/>
      <c r="H10" s="358"/>
      <c r="I10" s="358"/>
      <c r="J10" s="251">
        <f>SUM(L10:O10)</f>
        <v>5398.3180000000002</v>
      </c>
      <c r="K10" s="252"/>
      <c r="L10" s="289">
        <v>5398.3180000000002</v>
      </c>
      <c r="M10" s="252"/>
      <c r="N10" s="252"/>
      <c r="O10" s="252"/>
    </row>
    <row r="11" spans="1:15" ht="13.5" thickTop="1" thickBot="1">
      <c r="A11" s="862"/>
      <c r="B11" s="186" t="s">
        <v>19</v>
      </c>
      <c r="C11" s="187" t="s">
        <v>191</v>
      </c>
      <c r="D11" s="357">
        <f>SUM(F11:I11)</f>
        <v>1710</v>
      </c>
      <c r="E11" s="358"/>
      <c r="F11" s="360">
        <v>1710</v>
      </c>
      <c r="G11" s="358"/>
      <c r="H11" s="358"/>
      <c r="I11" s="358"/>
      <c r="J11" s="251">
        <f>SUM(L11:O11)</f>
        <v>1130.58</v>
      </c>
      <c r="K11" s="252"/>
      <c r="L11" s="289">
        <v>1130.58</v>
      </c>
      <c r="M11" s="252"/>
      <c r="N11" s="252"/>
      <c r="O11" s="252"/>
    </row>
    <row r="12" spans="1:15" ht="13.5" thickTop="1" thickBot="1">
      <c r="A12" s="862"/>
      <c r="B12" s="182" t="s">
        <v>20</v>
      </c>
      <c r="C12" s="182" t="s">
        <v>21</v>
      </c>
      <c r="D12" s="354">
        <f>SUM(E12:I12)</f>
        <v>163870</v>
      </c>
      <c r="E12" s="355"/>
      <c r="F12" s="356">
        <v>127420</v>
      </c>
      <c r="G12" s="356">
        <v>33530</v>
      </c>
      <c r="H12" s="356">
        <v>2920</v>
      </c>
      <c r="I12" s="355"/>
      <c r="J12" s="247">
        <f>SUM(K12:O12)</f>
        <v>226689.60800000001</v>
      </c>
      <c r="K12" s="248"/>
      <c r="L12" s="333">
        <v>198146.47899999999</v>
      </c>
      <c r="M12" s="333">
        <v>25682.293000000001</v>
      </c>
      <c r="N12" s="333">
        <v>2860.8359999999998</v>
      </c>
      <c r="O12" s="248">
        <v>0</v>
      </c>
    </row>
    <row r="13" spans="1:15" ht="13.5" thickTop="1" thickBot="1">
      <c r="A13" s="862"/>
      <c r="B13" s="186" t="s">
        <v>22</v>
      </c>
      <c r="C13" s="187" t="s">
        <v>23</v>
      </c>
      <c r="D13" s="354">
        <f>SUM(E13:I13)</f>
        <v>0</v>
      </c>
      <c r="E13" s="355"/>
      <c r="F13" s="358"/>
      <c r="G13" s="358"/>
      <c r="H13" s="358"/>
      <c r="I13" s="358"/>
      <c r="J13" s="247">
        <f>SUM(K13:O13)</f>
        <v>0</v>
      </c>
      <c r="K13" s="248"/>
      <c r="L13" s="252"/>
      <c r="M13" s="252"/>
      <c r="N13" s="358"/>
      <c r="O13" s="252"/>
    </row>
    <row r="14" spans="1:15" ht="13.5" thickTop="1" thickBot="1">
      <c r="A14" s="862"/>
      <c r="B14" s="182" t="s">
        <v>24</v>
      </c>
      <c r="C14" s="182" t="s">
        <v>25</v>
      </c>
      <c r="D14" s="354">
        <f>SUM(E14:I14)</f>
        <v>200</v>
      </c>
      <c r="E14" s="355"/>
      <c r="F14" s="355"/>
      <c r="G14" s="356">
        <v>200</v>
      </c>
      <c r="H14" s="355"/>
      <c r="I14" s="355"/>
      <c r="J14" s="247">
        <f>SUM(K14:O14)</f>
        <v>0</v>
      </c>
      <c r="K14" s="248"/>
      <c r="L14" s="248"/>
      <c r="M14" s="333">
        <v>0</v>
      </c>
      <c r="N14" s="248"/>
      <c r="O14" s="248"/>
    </row>
    <row r="15" spans="1:15" ht="13.5" thickTop="1" thickBot="1">
      <c r="A15" s="862"/>
      <c r="B15" s="179" t="s">
        <v>26</v>
      </c>
      <c r="C15" s="179" t="s">
        <v>27</v>
      </c>
      <c r="D15" s="352">
        <f t="shared" ref="D15:I15" si="4">SUM(D16:D18,D21)</f>
        <v>65620</v>
      </c>
      <c r="E15" s="359">
        <f t="shared" si="4"/>
        <v>0</v>
      </c>
      <c r="F15" s="359">
        <f t="shared" si="4"/>
        <v>65240</v>
      </c>
      <c r="G15" s="359">
        <f t="shared" si="4"/>
        <v>370</v>
      </c>
      <c r="H15" s="359">
        <f t="shared" si="4"/>
        <v>0</v>
      </c>
      <c r="I15" s="359">
        <f t="shared" si="4"/>
        <v>10</v>
      </c>
      <c r="J15" s="244">
        <f t="shared" ref="J15:O15" si="5">SUM(J16:J18,J21)</f>
        <v>119985.30399999997</v>
      </c>
      <c r="K15" s="253">
        <f t="shared" si="5"/>
        <v>0</v>
      </c>
      <c r="L15" s="253">
        <f t="shared" si="5"/>
        <v>119641.17599999999</v>
      </c>
      <c r="M15" s="253">
        <f t="shared" si="5"/>
        <v>332.608</v>
      </c>
      <c r="N15" s="253">
        <f t="shared" si="5"/>
        <v>5.37</v>
      </c>
      <c r="O15" s="253">
        <f t="shared" si="5"/>
        <v>6.15</v>
      </c>
    </row>
    <row r="16" spans="1:15" ht="13.5" thickTop="1" thickBot="1">
      <c r="A16" s="862"/>
      <c r="B16" s="182" t="s">
        <v>28</v>
      </c>
      <c r="C16" s="182" t="s">
        <v>29</v>
      </c>
      <c r="D16" s="354">
        <f>SUM(E16:I16)</f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247">
        <f>SUM(K16:O16)</f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</row>
    <row r="17" spans="1:15" ht="13.5" thickTop="1" thickBot="1">
      <c r="A17" s="862"/>
      <c r="B17" s="182" t="s">
        <v>30</v>
      </c>
      <c r="C17" s="182" t="s">
        <v>31</v>
      </c>
      <c r="D17" s="354">
        <f>SUM(E17:I17)</f>
        <v>60950</v>
      </c>
      <c r="E17" s="356"/>
      <c r="F17" s="356">
        <v>60940</v>
      </c>
      <c r="G17" s="356">
        <v>0</v>
      </c>
      <c r="H17" s="356">
        <v>0</v>
      </c>
      <c r="I17" s="356">
        <v>10</v>
      </c>
      <c r="J17" s="622">
        <f>SUM(K17:O17)</f>
        <v>109034.29099999998</v>
      </c>
      <c r="K17" s="333"/>
      <c r="L17" s="333">
        <v>109022.77099999999</v>
      </c>
      <c r="M17" s="333">
        <v>0</v>
      </c>
      <c r="N17" s="333">
        <v>5.37</v>
      </c>
      <c r="O17" s="333">
        <v>6.15</v>
      </c>
    </row>
    <row r="18" spans="1:15" ht="13.5" thickTop="1" thickBot="1">
      <c r="A18" s="862"/>
      <c r="B18" s="182" t="s">
        <v>32</v>
      </c>
      <c r="C18" s="182" t="s">
        <v>33</v>
      </c>
      <c r="D18" s="354">
        <f t="shared" ref="D18:I18" si="6">SUM(D19:D20)</f>
        <v>2850</v>
      </c>
      <c r="E18" s="355">
        <f t="shared" si="6"/>
        <v>0</v>
      </c>
      <c r="F18" s="355">
        <f t="shared" si="6"/>
        <v>2660</v>
      </c>
      <c r="G18" s="355">
        <f t="shared" si="6"/>
        <v>190</v>
      </c>
      <c r="H18" s="355">
        <f t="shared" si="6"/>
        <v>0</v>
      </c>
      <c r="I18" s="355">
        <f t="shared" si="6"/>
        <v>0</v>
      </c>
      <c r="J18" s="247">
        <f t="shared" ref="J18:M18" si="7">SUM(J19:J20)</f>
        <v>4883.2109999999993</v>
      </c>
      <c r="K18" s="248">
        <f t="shared" si="7"/>
        <v>0</v>
      </c>
      <c r="L18" s="248">
        <f t="shared" si="7"/>
        <v>4702.6209999999992</v>
      </c>
      <c r="M18" s="248">
        <f t="shared" si="7"/>
        <v>180.59</v>
      </c>
      <c r="N18" s="248"/>
      <c r="O18" s="248"/>
    </row>
    <row r="19" spans="1:15" ht="13.5" thickTop="1" thickBot="1">
      <c r="A19" s="862"/>
      <c r="B19" s="186" t="s">
        <v>34</v>
      </c>
      <c r="C19" s="187" t="s">
        <v>192</v>
      </c>
      <c r="D19" s="357">
        <f t="shared" ref="D19:D29" si="8">SUM(E19:I19)</f>
        <v>40</v>
      </c>
      <c r="E19" s="358"/>
      <c r="F19" s="360">
        <v>40</v>
      </c>
      <c r="G19" s="358"/>
      <c r="H19" s="358"/>
      <c r="I19" s="358"/>
      <c r="J19" s="251">
        <f t="shared" ref="J19:J29" si="9">SUM(K19:O19)</f>
        <v>2452.1529999999998</v>
      </c>
      <c r="K19" s="252"/>
      <c r="L19" s="289">
        <v>2452.1529999999998</v>
      </c>
      <c r="M19" s="252"/>
      <c r="N19" s="252"/>
      <c r="O19" s="252"/>
    </row>
    <row r="20" spans="1:15" ht="13.5" thickTop="1" thickBot="1">
      <c r="A20" s="862"/>
      <c r="B20" s="190" t="s">
        <v>35</v>
      </c>
      <c r="C20" s="187" t="s">
        <v>191</v>
      </c>
      <c r="D20" s="357">
        <f t="shared" si="8"/>
        <v>2810</v>
      </c>
      <c r="E20" s="358"/>
      <c r="F20" s="360">
        <v>2620</v>
      </c>
      <c r="G20" s="360">
        <v>190</v>
      </c>
      <c r="H20" s="358"/>
      <c r="I20" s="358"/>
      <c r="J20" s="251">
        <f t="shared" si="9"/>
        <v>2431.058</v>
      </c>
      <c r="K20" s="252"/>
      <c r="L20" s="289">
        <v>2250.4679999999998</v>
      </c>
      <c r="M20" s="289">
        <v>180.59</v>
      </c>
      <c r="N20" s="252"/>
      <c r="O20" s="252"/>
    </row>
    <row r="21" spans="1:15" ht="13.5" thickTop="1" thickBot="1">
      <c r="A21" s="862"/>
      <c r="B21" s="182" t="s">
        <v>36</v>
      </c>
      <c r="C21" s="182" t="s">
        <v>37</v>
      </c>
      <c r="D21" s="354">
        <f t="shared" si="8"/>
        <v>1820</v>
      </c>
      <c r="E21" s="355"/>
      <c r="F21" s="356">
        <v>1640</v>
      </c>
      <c r="G21" s="356">
        <v>180</v>
      </c>
      <c r="H21" s="355"/>
      <c r="I21" s="355"/>
      <c r="J21" s="247">
        <f t="shared" si="9"/>
        <v>6067.8019999999997</v>
      </c>
      <c r="K21" s="248"/>
      <c r="L21" s="333">
        <v>5915.7839999999997</v>
      </c>
      <c r="M21" s="333">
        <v>152.018</v>
      </c>
      <c r="N21" s="248"/>
      <c r="O21" s="248"/>
    </row>
    <row r="22" spans="1:15" s="17" customFormat="1" ht="13.5" thickTop="1" thickBot="1">
      <c r="A22" s="862"/>
      <c r="B22" s="232" t="s">
        <v>38</v>
      </c>
      <c r="C22" s="232" t="s">
        <v>39</v>
      </c>
      <c r="D22" s="361">
        <f t="shared" si="8"/>
        <v>297870</v>
      </c>
      <c r="E22" s="361">
        <f>SUM(E23:E25,E28,E29)</f>
        <v>0</v>
      </c>
      <c r="F22" s="361">
        <f>SUM(F23:F25,F28,F29)</f>
        <v>226500</v>
      </c>
      <c r="G22" s="361">
        <f>SUM(G23:G25,G28,G29)</f>
        <v>45440</v>
      </c>
      <c r="H22" s="361">
        <f>SUM(H23:H25,H28,H29)</f>
        <v>25930</v>
      </c>
      <c r="I22" s="361">
        <f>SUM(I23:I25,I28,I29)</f>
        <v>0</v>
      </c>
      <c r="J22" s="256">
        <f t="shared" si="9"/>
        <v>296563.929</v>
      </c>
      <c r="K22" s="256">
        <f>SUM(K23:K25,K28,K29)</f>
        <v>0</v>
      </c>
      <c r="L22" s="256">
        <f>SUM(L23:L25,L28,L29)</f>
        <v>234655.14900000003</v>
      </c>
      <c r="M22" s="256">
        <f>SUM(M23:M25,M28,M29)</f>
        <v>37585.864000000001</v>
      </c>
      <c r="N22" s="256">
        <f>SUM(N23:N25,N28,N29)</f>
        <v>24321.251</v>
      </c>
      <c r="O22" s="256">
        <f>SUM(O23:O25,O28,O29)</f>
        <v>1.665</v>
      </c>
    </row>
    <row r="23" spans="1:15" ht="13.5" thickTop="1" thickBot="1">
      <c r="A23" s="862"/>
      <c r="B23" s="182" t="s">
        <v>40</v>
      </c>
      <c r="C23" s="182" t="s">
        <v>41</v>
      </c>
      <c r="D23" s="354">
        <f t="shared" si="8"/>
        <v>0</v>
      </c>
      <c r="E23" s="354">
        <f t="shared" ref="E23:I28" si="10">E7-E16</f>
        <v>0</v>
      </c>
      <c r="F23" s="354">
        <f t="shared" si="10"/>
        <v>0</v>
      </c>
      <c r="G23" s="354">
        <f t="shared" si="10"/>
        <v>0</v>
      </c>
      <c r="H23" s="354">
        <f t="shared" si="10"/>
        <v>0</v>
      </c>
      <c r="I23" s="354">
        <f t="shared" si="10"/>
        <v>0</v>
      </c>
      <c r="J23" s="247">
        <f t="shared" si="9"/>
        <v>0</v>
      </c>
      <c r="K23" s="247">
        <f t="shared" ref="K23:O28" si="11">K7-K16</f>
        <v>0</v>
      </c>
      <c r="L23" s="247">
        <f t="shared" si="11"/>
        <v>0</v>
      </c>
      <c r="M23" s="247">
        <f t="shared" si="11"/>
        <v>0</v>
      </c>
      <c r="N23" s="247">
        <f t="shared" si="11"/>
        <v>0</v>
      </c>
      <c r="O23" s="247">
        <f t="shared" si="11"/>
        <v>0</v>
      </c>
    </row>
    <row r="24" spans="1:15" ht="13.5" thickTop="1" thickBot="1">
      <c r="A24" s="862"/>
      <c r="B24" s="182" t="s">
        <v>42</v>
      </c>
      <c r="C24" s="182" t="s">
        <v>43</v>
      </c>
      <c r="D24" s="354">
        <f t="shared" si="8"/>
        <v>130220</v>
      </c>
      <c r="E24" s="354">
        <f t="shared" si="10"/>
        <v>0</v>
      </c>
      <c r="F24" s="354">
        <f t="shared" si="10"/>
        <v>95130</v>
      </c>
      <c r="G24" s="354">
        <f t="shared" si="10"/>
        <v>12080</v>
      </c>
      <c r="H24" s="354">
        <f t="shared" si="10"/>
        <v>23010</v>
      </c>
      <c r="I24" s="354">
        <f t="shared" si="10"/>
        <v>0</v>
      </c>
      <c r="J24" s="622">
        <f t="shared" si="9"/>
        <v>74296.436000000002</v>
      </c>
      <c r="K24" s="247">
        <f t="shared" si="11"/>
        <v>0</v>
      </c>
      <c r="L24" s="247">
        <f t="shared" si="11"/>
        <v>40598.177000000011</v>
      </c>
      <c r="M24" s="247">
        <f t="shared" si="11"/>
        <v>12236.179</v>
      </c>
      <c r="N24" s="247">
        <f t="shared" si="11"/>
        <v>21460.415000000001</v>
      </c>
      <c r="O24" s="247">
        <f t="shared" si="11"/>
        <v>1.665</v>
      </c>
    </row>
    <row r="25" spans="1:15" ht="13.5" thickTop="1" thickBot="1">
      <c r="A25" s="862"/>
      <c r="B25" s="182" t="s">
        <v>44</v>
      </c>
      <c r="C25" s="182" t="s">
        <v>45</v>
      </c>
      <c r="D25" s="354">
        <f t="shared" si="8"/>
        <v>5400</v>
      </c>
      <c r="E25" s="354">
        <f t="shared" si="10"/>
        <v>0</v>
      </c>
      <c r="F25" s="354">
        <f t="shared" si="10"/>
        <v>5590</v>
      </c>
      <c r="G25" s="354">
        <f t="shared" si="10"/>
        <v>-190</v>
      </c>
      <c r="H25" s="354">
        <f t="shared" si="10"/>
        <v>0</v>
      </c>
      <c r="I25" s="354">
        <f t="shared" si="10"/>
        <v>0</v>
      </c>
      <c r="J25" s="622">
        <f t="shared" si="9"/>
        <v>1645.687000000001</v>
      </c>
      <c r="K25" s="247">
        <f t="shared" si="11"/>
        <v>0</v>
      </c>
      <c r="L25" s="247">
        <f t="shared" si="11"/>
        <v>1826.277000000001</v>
      </c>
      <c r="M25" s="247">
        <f t="shared" si="11"/>
        <v>-180.59</v>
      </c>
      <c r="N25" s="247">
        <f t="shared" si="11"/>
        <v>0</v>
      </c>
      <c r="O25" s="247">
        <f t="shared" si="11"/>
        <v>0</v>
      </c>
    </row>
    <row r="26" spans="1:15" ht="13.5" thickTop="1" thickBot="1">
      <c r="A26" s="862"/>
      <c r="B26" s="186" t="s">
        <v>46</v>
      </c>
      <c r="C26" s="187" t="s">
        <v>192</v>
      </c>
      <c r="D26" s="354">
        <f t="shared" si="8"/>
        <v>6500</v>
      </c>
      <c r="E26" s="357">
        <f t="shared" si="10"/>
        <v>0</v>
      </c>
      <c r="F26" s="357">
        <f t="shared" si="10"/>
        <v>6500</v>
      </c>
      <c r="G26" s="357">
        <f t="shared" si="10"/>
        <v>0</v>
      </c>
      <c r="H26" s="357">
        <f t="shared" si="10"/>
        <v>0</v>
      </c>
      <c r="I26" s="357">
        <f t="shared" si="10"/>
        <v>0</v>
      </c>
      <c r="J26" s="622">
        <f t="shared" si="9"/>
        <v>2946.1650000000004</v>
      </c>
      <c r="K26" s="251">
        <f t="shared" si="11"/>
        <v>0</v>
      </c>
      <c r="L26" s="251">
        <f t="shared" si="11"/>
        <v>2946.1650000000004</v>
      </c>
      <c r="M26" s="251">
        <f t="shared" si="11"/>
        <v>0</v>
      </c>
      <c r="N26" s="251">
        <f t="shared" si="11"/>
        <v>0</v>
      </c>
      <c r="O26" s="251">
        <f t="shared" si="11"/>
        <v>0</v>
      </c>
    </row>
    <row r="27" spans="1:15" ht="13.5" thickTop="1" thickBot="1">
      <c r="A27" s="862"/>
      <c r="B27" s="186" t="s">
        <v>47</v>
      </c>
      <c r="C27" s="187" t="s">
        <v>191</v>
      </c>
      <c r="D27" s="354">
        <f t="shared" si="8"/>
        <v>-1100</v>
      </c>
      <c r="E27" s="357">
        <f t="shared" si="10"/>
        <v>0</v>
      </c>
      <c r="F27" s="357">
        <f t="shared" si="10"/>
        <v>-910</v>
      </c>
      <c r="G27" s="357">
        <f t="shared" si="10"/>
        <v>-190</v>
      </c>
      <c r="H27" s="357">
        <f t="shared" si="10"/>
        <v>0</v>
      </c>
      <c r="I27" s="357">
        <f t="shared" si="10"/>
        <v>0</v>
      </c>
      <c r="J27" s="622">
        <f t="shared" si="9"/>
        <v>-1300.4779999999998</v>
      </c>
      <c r="K27" s="251">
        <f t="shared" si="11"/>
        <v>0</v>
      </c>
      <c r="L27" s="251">
        <f t="shared" si="11"/>
        <v>-1119.8879999999999</v>
      </c>
      <c r="M27" s="251">
        <f t="shared" si="11"/>
        <v>-180.59</v>
      </c>
      <c r="N27" s="251">
        <f t="shared" si="11"/>
        <v>0</v>
      </c>
      <c r="O27" s="251">
        <f t="shared" si="11"/>
        <v>0</v>
      </c>
    </row>
    <row r="28" spans="1:15" ht="13.5" thickTop="1" thickBot="1">
      <c r="A28" s="862"/>
      <c r="B28" s="182" t="s">
        <v>48</v>
      </c>
      <c r="C28" s="182" t="s">
        <v>49</v>
      </c>
      <c r="D28" s="354">
        <f t="shared" si="8"/>
        <v>162050</v>
      </c>
      <c r="E28" s="354">
        <f t="shared" si="10"/>
        <v>0</v>
      </c>
      <c r="F28" s="354">
        <f t="shared" si="10"/>
        <v>125780</v>
      </c>
      <c r="G28" s="354">
        <f t="shared" si="10"/>
        <v>33350</v>
      </c>
      <c r="H28" s="354">
        <f t="shared" si="10"/>
        <v>2920</v>
      </c>
      <c r="I28" s="354">
        <f t="shared" si="10"/>
        <v>0</v>
      </c>
      <c r="J28" s="622">
        <f t="shared" si="9"/>
        <v>220621.80600000001</v>
      </c>
      <c r="K28" s="247">
        <f t="shared" si="11"/>
        <v>0</v>
      </c>
      <c r="L28" s="247">
        <f t="shared" si="11"/>
        <v>192230.69500000001</v>
      </c>
      <c r="M28" s="247">
        <f t="shared" si="11"/>
        <v>25530.275000000001</v>
      </c>
      <c r="N28" s="247">
        <f t="shared" si="11"/>
        <v>2860.8359999999998</v>
      </c>
      <c r="O28" s="247">
        <f t="shared" si="11"/>
        <v>0</v>
      </c>
    </row>
    <row r="29" spans="1:15" ht="13.5" thickTop="1" thickBot="1">
      <c r="A29" s="862"/>
      <c r="B29" s="182" t="s">
        <v>50</v>
      </c>
      <c r="C29" s="182" t="s">
        <v>25</v>
      </c>
      <c r="D29" s="354">
        <f t="shared" si="8"/>
        <v>200</v>
      </c>
      <c r="E29" s="354">
        <f>E14</f>
        <v>0</v>
      </c>
      <c r="F29" s="354">
        <f>F14</f>
        <v>0</v>
      </c>
      <c r="G29" s="354">
        <f>G14</f>
        <v>200</v>
      </c>
      <c r="H29" s="354">
        <f>H14</f>
        <v>0</v>
      </c>
      <c r="I29" s="354">
        <f>I14</f>
        <v>0</v>
      </c>
      <c r="J29" s="622">
        <f t="shared" si="9"/>
        <v>0</v>
      </c>
      <c r="K29" s="247">
        <f>K14</f>
        <v>0</v>
      </c>
      <c r="L29" s="247">
        <f>L14</f>
        <v>0</v>
      </c>
      <c r="M29" s="247">
        <f>M14</f>
        <v>0</v>
      </c>
      <c r="N29" s="247">
        <f>N14</f>
        <v>0</v>
      </c>
      <c r="O29" s="247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362">
        <f>SUM(F30:I30)</f>
        <v>321438</v>
      </c>
      <c r="E30" s="362"/>
      <c r="F30" s="362">
        <f>SUM(F31:F33)</f>
        <v>0</v>
      </c>
      <c r="G30" s="362">
        <f>SUM(G31:G33)</f>
        <v>40908</v>
      </c>
      <c r="H30" s="362">
        <f>SUM(H31:H33)</f>
        <v>177570</v>
      </c>
      <c r="I30" s="362">
        <f>SUM(I31:I33)</f>
        <v>102960</v>
      </c>
      <c r="J30" s="258">
        <f>SUM(L30:O30)</f>
        <v>350711.29700000002</v>
      </c>
      <c r="K30" s="258"/>
      <c r="L30" s="258">
        <f>SUM(L31:L33)</f>
        <v>0</v>
      </c>
      <c r="M30" s="258">
        <f>SUM(M31:M33)</f>
        <v>40146.25</v>
      </c>
      <c r="N30" s="258">
        <f>SUM(N31:N33)</f>
        <v>189673.72200000001</v>
      </c>
      <c r="O30" s="258">
        <f>SUM(O31:O33)</f>
        <v>120891.32499999998</v>
      </c>
    </row>
    <row r="31" spans="1:15" ht="13.5" thickTop="1" thickBot="1">
      <c r="A31" s="862"/>
      <c r="B31" s="182" t="s">
        <v>54</v>
      </c>
      <c r="C31" s="182" t="s">
        <v>55</v>
      </c>
      <c r="D31" s="354">
        <f t="shared" ref="D31:D43" si="12">SUM(E31:I31)</f>
        <v>136360</v>
      </c>
      <c r="E31" s="363"/>
      <c r="F31" s="364"/>
      <c r="G31" s="354">
        <f>F36</f>
        <v>40908</v>
      </c>
      <c r="H31" s="354">
        <f>F37</f>
        <v>95452</v>
      </c>
      <c r="I31" s="363"/>
      <c r="J31" s="247">
        <f t="shared" ref="J31:J43" si="13">SUM(K31:O31)</f>
        <v>154408.655</v>
      </c>
      <c r="K31" s="259"/>
      <c r="L31" s="260"/>
      <c r="M31" s="247">
        <f>L36</f>
        <v>40146.25</v>
      </c>
      <c r="N31" s="247">
        <f>L37</f>
        <v>114262.405</v>
      </c>
      <c r="O31" s="259"/>
    </row>
    <row r="32" spans="1:15" ht="13.5" thickTop="1" thickBot="1">
      <c r="A32" s="862"/>
      <c r="B32" s="182" t="s">
        <v>56</v>
      </c>
      <c r="C32" s="182" t="s">
        <v>57</v>
      </c>
      <c r="D32" s="354">
        <f t="shared" si="12"/>
        <v>82118</v>
      </c>
      <c r="E32" s="363"/>
      <c r="F32" s="363"/>
      <c r="G32" s="363"/>
      <c r="H32" s="354">
        <f>G37</f>
        <v>82118</v>
      </c>
      <c r="I32" s="364">
        <f>G43</f>
        <v>0</v>
      </c>
      <c r="J32" s="247">
        <f t="shared" si="13"/>
        <v>75411.31700000001</v>
      </c>
      <c r="K32" s="259"/>
      <c r="L32" s="259"/>
      <c r="M32" s="259"/>
      <c r="N32" s="247">
        <f>M37</f>
        <v>75411.31700000001</v>
      </c>
      <c r="O32" s="260">
        <f>M43</f>
        <v>0</v>
      </c>
    </row>
    <row r="33" spans="1:16" ht="13.5" thickTop="1" thickBot="1">
      <c r="A33" s="862"/>
      <c r="B33" s="182" t="s">
        <v>58</v>
      </c>
      <c r="C33" s="182" t="s">
        <v>59</v>
      </c>
      <c r="D33" s="354">
        <f t="shared" si="12"/>
        <v>102960</v>
      </c>
      <c r="E33" s="363"/>
      <c r="F33" s="363"/>
      <c r="G33" s="363"/>
      <c r="H33" s="363"/>
      <c r="I33" s="354">
        <f>G38+H38</f>
        <v>102960</v>
      </c>
      <c r="J33" s="247">
        <f t="shared" si="13"/>
        <v>120891.32499999998</v>
      </c>
      <c r="K33" s="259"/>
      <c r="L33" s="259"/>
      <c r="M33" s="259"/>
      <c r="N33" s="259"/>
      <c r="O33" s="247">
        <f>M38+N38</f>
        <v>120891.32499999998</v>
      </c>
    </row>
    <row r="34" spans="1:16" ht="13.5" thickTop="1" thickBot="1">
      <c r="A34" s="862"/>
      <c r="B34" s="179" t="s">
        <v>60</v>
      </c>
      <c r="C34" s="179" t="s">
        <v>61</v>
      </c>
      <c r="D34" s="362">
        <f t="shared" si="12"/>
        <v>321438</v>
      </c>
      <c r="E34" s="362"/>
      <c r="F34" s="362">
        <f>SUM(F35:F38)</f>
        <v>136360</v>
      </c>
      <c r="G34" s="362">
        <f>SUM(G35:G38)</f>
        <v>82118</v>
      </c>
      <c r="H34" s="362">
        <f>SUM(H35:H38)</f>
        <v>102960</v>
      </c>
      <c r="I34" s="285">
        <f>SUM(I35:I38)</f>
        <v>0</v>
      </c>
      <c r="J34" s="258">
        <f t="shared" si="13"/>
        <v>350711.29700000002</v>
      </c>
      <c r="K34" s="258"/>
      <c r="L34" s="258">
        <f>SUM(L35:L38)</f>
        <v>154408.655</v>
      </c>
      <c r="M34" s="258">
        <f>SUM(M35:M38)</f>
        <v>75411.31700000001</v>
      </c>
      <c r="N34" s="258">
        <f>SUM(N35:N38)</f>
        <v>120891.32499999998</v>
      </c>
      <c r="O34" s="261">
        <f>SUM(O35:O38)</f>
        <v>0</v>
      </c>
    </row>
    <row r="35" spans="1:16" ht="13.5" thickTop="1" thickBot="1">
      <c r="A35" s="862"/>
      <c r="B35" s="182" t="s">
        <v>62</v>
      </c>
      <c r="C35" s="182" t="s">
        <v>63</v>
      </c>
      <c r="D35" s="354">
        <f t="shared" si="12"/>
        <v>0</v>
      </c>
      <c r="E35" s="364"/>
      <c r="F35" s="363"/>
      <c r="G35" s="363"/>
      <c r="H35" s="363"/>
      <c r="I35" s="363"/>
      <c r="J35" s="247">
        <f t="shared" si="13"/>
        <v>0</v>
      </c>
      <c r="K35" s="260"/>
      <c r="L35" s="259"/>
      <c r="M35" s="259"/>
      <c r="N35" s="259"/>
      <c r="O35" s="259"/>
    </row>
    <row r="36" spans="1:16" ht="13.5" thickTop="1" thickBot="1">
      <c r="A36" s="862"/>
      <c r="B36" s="182" t="s">
        <v>64</v>
      </c>
      <c r="C36" s="182" t="s">
        <v>65</v>
      </c>
      <c r="D36" s="354">
        <f t="shared" si="12"/>
        <v>40908</v>
      </c>
      <c r="E36" s="354"/>
      <c r="F36" s="333">
        <v>40908</v>
      </c>
      <c r="G36" s="259"/>
      <c r="H36" s="259"/>
      <c r="I36" s="363"/>
      <c r="J36" s="247">
        <f t="shared" si="13"/>
        <v>40146.25</v>
      </c>
      <c r="K36" s="247"/>
      <c r="L36" s="333">
        <v>40146.25</v>
      </c>
      <c r="M36" s="259"/>
      <c r="N36" s="259"/>
      <c r="O36" s="259"/>
    </row>
    <row r="37" spans="1:16" ht="13.5" thickTop="1" thickBot="1">
      <c r="A37" s="862"/>
      <c r="B37" s="182" t="s">
        <v>66</v>
      </c>
      <c r="C37" s="182" t="s">
        <v>67</v>
      </c>
      <c r="D37" s="354">
        <f t="shared" si="12"/>
        <v>177570</v>
      </c>
      <c r="E37" s="354"/>
      <c r="F37" s="333">
        <v>95452</v>
      </c>
      <c r="G37" s="333">
        <v>82118</v>
      </c>
      <c r="H37" s="259"/>
      <c r="I37" s="363"/>
      <c r="J37" s="247">
        <f t="shared" si="13"/>
        <v>189673.72200000001</v>
      </c>
      <c r="K37" s="247"/>
      <c r="L37" s="333">
        <v>114262.405</v>
      </c>
      <c r="M37" s="333">
        <v>75411.31700000001</v>
      </c>
      <c r="N37" s="259"/>
      <c r="O37" s="259"/>
    </row>
    <row r="38" spans="1:16" ht="13.5" thickTop="1" thickBot="1">
      <c r="A38" s="862"/>
      <c r="B38" s="182" t="s">
        <v>68</v>
      </c>
      <c r="C38" s="182" t="s">
        <v>69</v>
      </c>
      <c r="D38" s="354">
        <f t="shared" si="12"/>
        <v>102960</v>
      </c>
      <c r="E38" s="363"/>
      <c r="F38" s="259"/>
      <c r="G38" s="260"/>
      <c r="H38" s="333">
        <v>102960</v>
      </c>
      <c r="I38" s="363"/>
      <c r="J38" s="247">
        <f t="shared" si="13"/>
        <v>120891.32499999998</v>
      </c>
      <c r="K38" s="259"/>
      <c r="L38" s="259"/>
      <c r="M38" s="260"/>
      <c r="N38" s="333">
        <v>120891.32499999998</v>
      </c>
      <c r="O38" s="259"/>
    </row>
    <row r="39" spans="1:16" s="17" customFormat="1" ht="13.5" thickTop="1" thickBot="1">
      <c r="A39" s="862"/>
      <c r="B39" s="232" t="s">
        <v>70</v>
      </c>
      <c r="C39" s="232" t="s">
        <v>71</v>
      </c>
      <c r="D39" s="365">
        <f t="shared" si="12"/>
        <v>0</v>
      </c>
      <c r="E39" s="365"/>
      <c r="F39" s="365">
        <f>SUM(F40:F43)</f>
        <v>-136360</v>
      </c>
      <c r="G39" s="365">
        <f>SUM(G40:G43)</f>
        <v>-41210</v>
      </c>
      <c r="H39" s="365">
        <f>SUM(H40:H43)</f>
        <v>74610</v>
      </c>
      <c r="I39" s="365">
        <f>SUM(I40:I43)</f>
        <v>102960</v>
      </c>
      <c r="J39" s="262">
        <f t="shared" si="13"/>
        <v>0</v>
      </c>
      <c r="K39" s="262"/>
      <c r="L39" s="262">
        <f>SUM(L40:L43)</f>
        <v>-154408.655</v>
      </c>
      <c r="M39" s="262">
        <f>SUM(M40:M43)</f>
        <v>-35265.06700000001</v>
      </c>
      <c r="N39" s="262">
        <f>SUM(N40:N43)</f>
        <v>68782.397000000026</v>
      </c>
      <c r="O39" s="262">
        <f>SUM(O40:O43)</f>
        <v>120891.32499999998</v>
      </c>
    </row>
    <row r="40" spans="1:16" ht="13.5" thickTop="1" thickBot="1">
      <c r="A40" s="862"/>
      <c r="B40" s="182" t="s">
        <v>72</v>
      </c>
      <c r="C40" s="182" t="s">
        <v>5</v>
      </c>
      <c r="D40" s="366">
        <f t="shared" si="12"/>
        <v>136360</v>
      </c>
      <c r="E40" s="367"/>
      <c r="F40" s="367">
        <f>F31-F35</f>
        <v>0</v>
      </c>
      <c r="G40" s="367">
        <f>G31-G35</f>
        <v>40908</v>
      </c>
      <c r="H40" s="367">
        <f>H31-H35</f>
        <v>95452</v>
      </c>
      <c r="I40" s="368"/>
      <c r="J40" s="264">
        <f t="shared" si="13"/>
        <v>154408.655</v>
      </c>
      <c r="K40" s="265"/>
      <c r="L40" s="265">
        <f>L31-L35</f>
        <v>0</v>
      </c>
      <c r="M40" s="265">
        <f>M31-M35</f>
        <v>40146.25</v>
      </c>
      <c r="N40" s="265">
        <f>N31-N35</f>
        <v>114262.405</v>
      </c>
      <c r="O40" s="266"/>
    </row>
    <row r="41" spans="1:16" ht="13.5" thickTop="1" thickBot="1">
      <c r="A41" s="862"/>
      <c r="B41" s="182" t="s">
        <v>73</v>
      </c>
      <c r="C41" s="182" t="s">
        <v>74</v>
      </c>
      <c r="D41" s="366">
        <f t="shared" si="12"/>
        <v>41210</v>
      </c>
      <c r="E41" s="367">
        <f>E32-E36</f>
        <v>0</v>
      </c>
      <c r="F41" s="367">
        <f>F32-F36</f>
        <v>-40908</v>
      </c>
      <c r="G41" s="368"/>
      <c r="H41" s="367">
        <f>H32-H36</f>
        <v>82118</v>
      </c>
      <c r="I41" s="368"/>
      <c r="J41" s="264">
        <f t="shared" si="13"/>
        <v>35265.06700000001</v>
      </c>
      <c r="K41" s="265">
        <f>K32-K36</f>
        <v>0</v>
      </c>
      <c r="L41" s="265">
        <f>L32-L36</f>
        <v>-40146.25</v>
      </c>
      <c r="M41" s="266"/>
      <c r="N41" s="265">
        <f>N32-N36</f>
        <v>75411.31700000001</v>
      </c>
      <c r="O41" s="266"/>
    </row>
    <row r="42" spans="1:16" ht="13.5" thickTop="1" thickBot="1">
      <c r="A42" s="862"/>
      <c r="B42" s="182" t="s">
        <v>75</v>
      </c>
      <c r="C42" s="182" t="s">
        <v>76</v>
      </c>
      <c r="D42" s="366">
        <f t="shared" si="12"/>
        <v>-74610</v>
      </c>
      <c r="E42" s="367">
        <f>E33-E37</f>
        <v>0</v>
      </c>
      <c r="F42" s="367">
        <f>F33-F37</f>
        <v>-95452</v>
      </c>
      <c r="G42" s="367">
        <f>G33-G37</f>
        <v>-82118</v>
      </c>
      <c r="H42" s="368"/>
      <c r="I42" s="367">
        <f>I33-I37</f>
        <v>102960</v>
      </c>
      <c r="J42" s="264">
        <f t="shared" si="13"/>
        <v>-68782.397000000026</v>
      </c>
      <c r="K42" s="265">
        <f>K33-K37</f>
        <v>0</v>
      </c>
      <c r="L42" s="265">
        <f>L33-L37</f>
        <v>-114262.405</v>
      </c>
      <c r="M42" s="265">
        <f>M33-M37</f>
        <v>-75411.31700000001</v>
      </c>
      <c r="N42" s="266"/>
      <c r="O42" s="265">
        <f>O33-O37</f>
        <v>120891.32499999998</v>
      </c>
    </row>
    <row r="43" spans="1:16" ht="13.5" thickTop="1" thickBot="1">
      <c r="A43" s="862"/>
      <c r="B43" s="199" t="s">
        <v>77</v>
      </c>
      <c r="C43" s="199" t="s">
        <v>8</v>
      </c>
      <c r="D43" s="367">
        <f t="shared" si="12"/>
        <v>-102960</v>
      </c>
      <c r="E43" s="368"/>
      <c r="F43" s="368"/>
      <c r="G43" s="367"/>
      <c r="H43" s="367">
        <f>-H38</f>
        <v>-102960</v>
      </c>
      <c r="I43" s="368"/>
      <c r="J43" s="265">
        <f t="shared" si="13"/>
        <v>-120891.32499999998</v>
      </c>
      <c r="K43" s="266"/>
      <c r="L43" s="266"/>
      <c r="M43" s="265"/>
      <c r="N43" s="265">
        <f>-N38</f>
        <v>-120891.32499999998</v>
      </c>
      <c r="O43" s="266"/>
    </row>
    <row r="44" spans="1:16" ht="13.5" thickTop="1" thickBot="1">
      <c r="A44" s="177"/>
      <c r="B44" s="200" t="s">
        <v>78</v>
      </c>
      <c r="C44" s="200" t="s">
        <v>79</v>
      </c>
      <c r="D44" s="201">
        <f>D22</f>
        <v>297870</v>
      </c>
      <c r="E44" s="201">
        <f>E22+E30</f>
        <v>0</v>
      </c>
      <c r="F44" s="201">
        <f>F22+F30</f>
        <v>226500</v>
      </c>
      <c r="G44" s="201">
        <f>G22+G30</f>
        <v>86348</v>
      </c>
      <c r="H44" s="201">
        <f>H22+H30</f>
        <v>203500</v>
      </c>
      <c r="I44" s="201">
        <f>I22+I30</f>
        <v>102960</v>
      </c>
      <c r="J44" s="201">
        <f>J22</f>
        <v>296563.929</v>
      </c>
      <c r="K44" s="201">
        <f>K22+K30</f>
        <v>0</v>
      </c>
      <c r="L44" s="201">
        <f>L22+L30</f>
        <v>234655.14900000003</v>
      </c>
      <c r="M44" s="201">
        <f>M22+M30</f>
        <v>77732.114000000001</v>
      </c>
      <c r="N44" s="201">
        <f>N22+N30</f>
        <v>213994.973</v>
      </c>
      <c r="O44" s="201">
        <f>O22+O30</f>
        <v>120892.98999999998</v>
      </c>
    </row>
    <row r="45" spans="1:16" ht="13.5" thickTop="1" thickBot="1">
      <c r="A45" s="177"/>
      <c r="B45" s="202" t="s">
        <v>80</v>
      </c>
      <c r="C45" s="202" t="s">
        <v>81</v>
      </c>
      <c r="D45" s="203">
        <f>D44</f>
        <v>297870</v>
      </c>
      <c r="E45" s="203">
        <f>E143+E151+E34</f>
        <v>0</v>
      </c>
      <c r="F45" s="203">
        <f>F143+F151+F34-G49-H49-G73-H73-G78-H78-H54-H97-H109-G97-G102-H102-G109-G114-H114-G121-H121-G126-H126-G133-H133</f>
        <v>226500</v>
      </c>
      <c r="G45" s="203">
        <f>G143+G151+G34-H50-I50-H55-I55-H62-I62-H67-I67-H98-H74-H79-H86-H91-H103-H110-H115-H122-H127-H134</f>
        <v>84939</v>
      </c>
      <c r="H45" s="203">
        <f>H143+H151+H34-I51-I56-I63-I68-I75-I80-I87-I92-I99-I104-I111-I116-I123-I128</f>
        <v>187655.8</v>
      </c>
      <c r="I45" s="203">
        <f>I151+I143</f>
        <v>102272.2</v>
      </c>
      <c r="J45" s="203">
        <f>J44</f>
        <v>296563.929</v>
      </c>
      <c r="K45" s="203">
        <f>K143+K151+K34</f>
        <v>0</v>
      </c>
      <c r="L45" s="203">
        <f>L143+L151+L34-M49-N49-M73-N73-M78-N78-N54-N97-N109-M97-M102-N102-M109-M114-N114-M121-N121-M126-N126-M133-N133</f>
        <v>234655.14900000003</v>
      </c>
      <c r="M45" s="203">
        <f>M143+M151+M34-N50-O50-N55-O55-N62-O62-N67-O67-N98-N74-N79-N86-N91-N103-N110-N115-N122-N127-N134</f>
        <v>77732.114000000001</v>
      </c>
      <c r="N45" s="203">
        <f>N143+N151+N34-O51-O56-O63-O68-O75-O80-O87-O92-O99-O104-O111-O116-O123-O128</f>
        <v>215251.99099999998</v>
      </c>
      <c r="O45" s="203">
        <f>O151+O143</f>
        <v>120361.477</v>
      </c>
    </row>
    <row r="46" spans="1:16" ht="13.5" thickTop="1" thickBot="1">
      <c r="A46" s="862" t="s">
        <v>82</v>
      </c>
      <c r="B46" s="179" t="s">
        <v>83</v>
      </c>
      <c r="C46" s="179" t="s">
        <v>84</v>
      </c>
      <c r="D46" s="181">
        <f>SUM(E46:I46)</f>
        <v>263860</v>
      </c>
      <c r="E46" s="322">
        <f>E47+E59+E71+E83+E95</f>
        <v>0</v>
      </c>
      <c r="F46" s="322">
        <f>F47+F59+F71+F83+F95+F107+F119+F131</f>
        <v>84240</v>
      </c>
      <c r="G46" s="322">
        <f>G47+G59+G71+G83+G95+G107+G119+G131</f>
        <v>2130</v>
      </c>
      <c r="H46" s="322">
        <f>H47+H59+H71+H83+H95+H107+H119+H131</f>
        <v>82440</v>
      </c>
      <c r="I46" s="322">
        <f>I47+I59+I71+I83+I95+I107+I119+I131</f>
        <v>95050</v>
      </c>
      <c r="J46" s="181">
        <f>SUM(K46:O46)</f>
        <v>274503.65299999999</v>
      </c>
      <c r="K46" s="322">
        <f>K47+K59+K71+K83+K95</f>
        <v>0</v>
      </c>
      <c r="L46" s="322">
        <f>L47+L59+L71+L83+L95+L107+L119+L131</f>
        <v>74476.546000000002</v>
      </c>
      <c r="M46" s="322">
        <f>M47+M59+M71+M83+M95+M107+M119+M131</f>
        <v>498.70800000000008</v>
      </c>
      <c r="N46" s="322">
        <f>N47+N59+N71+N83+N95+N107+N119+N131</f>
        <v>75490.123000000007</v>
      </c>
      <c r="O46" s="322">
        <f>O47+O59+O71+O83+O95+O107+O119+O131</f>
        <v>124038.27599999998</v>
      </c>
      <c r="P46" s="321"/>
    </row>
    <row r="47" spans="1:16" s="3" customFormat="1" ht="13.5" thickTop="1" thickBot="1">
      <c r="A47" s="862"/>
      <c r="B47" s="270" t="s">
        <v>85</v>
      </c>
      <c r="C47" s="271" t="s">
        <v>86</v>
      </c>
      <c r="D47" s="369">
        <f t="shared" ref="D47:D94" si="14">SUM(E47:I47)</f>
        <v>172460</v>
      </c>
      <c r="E47" s="370"/>
      <c r="F47" s="478">
        <f>10240-H49-H54</f>
        <v>1040</v>
      </c>
      <c r="G47" s="478">
        <f>1870-H50</f>
        <v>870</v>
      </c>
      <c r="H47" s="479">
        <f>65870+H49+H50+H54</f>
        <v>76070</v>
      </c>
      <c r="I47" s="478">
        <v>94480</v>
      </c>
      <c r="J47" s="590">
        <f t="shared" ref="J47:J94" si="15">SUM(K47:O47)</f>
        <v>193983.39499999999</v>
      </c>
      <c r="K47" s="273"/>
      <c r="L47" s="273">
        <f>17921.723-N49-N54</f>
        <v>2019.2280000000019</v>
      </c>
      <c r="M47" s="273">
        <f>1792.632-N50</f>
        <v>498.70800000000008</v>
      </c>
      <c r="N47" s="273">
        <f>57307.037+210.187+N49+N50+N54+183.588</f>
        <v>74897.231</v>
      </c>
      <c r="O47" s="273">
        <f>121738.665+241.742+402.927-5815.106</f>
        <v>116568.22799999999</v>
      </c>
      <c r="P47" s="713"/>
    </row>
    <row r="48" spans="1:16" ht="13.5" thickTop="1" thickBot="1">
      <c r="A48" s="862"/>
      <c r="B48" s="263" t="s">
        <v>87</v>
      </c>
      <c r="C48" s="263" t="s">
        <v>88</v>
      </c>
      <c r="D48" s="367">
        <f t="shared" si="14"/>
        <v>0</v>
      </c>
      <c r="E48" s="367"/>
      <c r="F48" s="367"/>
      <c r="G48" s="367"/>
      <c r="H48" s="367"/>
      <c r="I48" s="367"/>
      <c r="J48" s="265">
        <f t="shared" si="15"/>
        <v>0</v>
      </c>
      <c r="K48" s="265"/>
      <c r="L48" s="265"/>
      <c r="M48" s="265"/>
      <c r="N48" s="265"/>
      <c r="O48" s="265"/>
    </row>
    <row r="49" spans="1:16" ht="13.5" thickTop="1" thickBot="1">
      <c r="A49" s="862"/>
      <c r="B49" s="275"/>
      <c r="C49" s="276" t="s">
        <v>89</v>
      </c>
      <c r="D49" s="371">
        <f t="shared" si="14"/>
        <v>8100</v>
      </c>
      <c r="E49" s="372"/>
      <c r="F49" s="372"/>
      <c r="G49" s="371"/>
      <c r="H49" s="373">
        <v>8100</v>
      </c>
      <c r="I49" s="372"/>
      <c r="J49" s="277">
        <f t="shared" si="15"/>
        <v>10229.912</v>
      </c>
      <c r="K49" s="278"/>
      <c r="L49" s="278"/>
      <c r="M49" s="277"/>
      <c r="N49" s="585">
        <v>10229.912</v>
      </c>
      <c r="O49" s="278"/>
    </row>
    <row r="50" spans="1:16" ht="13.5" thickTop="1" thickBot="1">
      <c r="A50" s="862"/>
      <c r="B50" s="275"/>
      <c r="C50" s="276" t="s">
        <v>90</v>
      </c>
      <c r="D50" s="371">
        <f t="shared" si="14"/>
        <v>1000</v>
      </c>
      <c r="E50" s="372"/>
      <c r="F50" s="372"/>
      <c r="G50" s="372"/>
      <c r="H50" s="371">
        <v>1000</v>
      </c>
      <c r="I50" s="371"/>
      <c r="J50" s="277">
        <f t="shared" si="15"/>
        <v>1293.924</v>
      </c>
      <c r="K50" s="278"/>
      <c r="L50" s="278"/>
      <c r="M50" s="278"/>
      <c r="N50" s="585">
        <v>1293.924</v>
      </c>
      <c r="O50" s="277"/>
    </row>
    <row r="51" spans="1:16" ht="13.5" thickTop="1" thickBot="1">
      <c r="A51" s="862"/>
      <c r="B51" s="275"/>
      <c r="C51" s="276" t="s">
        <v>91</v>
      </c>
      <c r="D51" s="371">
        <f t="shared" si="14"/>
        <v>0</v>
      </c>
      <c r="E51" s="372"/>
      <c r="F51" s="372"/>
      <c r="G51" s="372"/>
      <c r="H51" s="372"/>
      <c r="I51" s="371"/>
      <c r="J51" s="277">
        <f t="shared" si="15"/>
        <v>0</v>
      </c>
      <c r="K51" s="278"/>
      <c r="L51" s="278"/>
      <c r="M51" s="278"/>
      <c r="N51" s="278"/>
      <c r="O51" s="277"/>
      <c r="P51" s="321"/>
    </row>
    <row r="52" spans="1:16" ht="13.5" thickTop="1" thickBot="1">
      <c r="A52" s="862"/>
      <c r="B52" s="263" t="s">
        <v>92</v>
      </c>
      <c r="C52" s="263" t="s">
        <v>93</v>
      </c>
      <c r="D52" s="367">
        <f t="shared" si="14"/>
        <v>0</v>
      </c>
      <c r="E52" s="367"/>
      <c r="F52" s="384"/>
      <c r="G52" s="384"/>
      <c r="H52" s="384"/>
      <c r="I52" s="384"/>
      <c r="J52" s="265">
        <f t="shared" si="15"/>
        <v>0</v>
      </c>
      <c r="K52" s="387"/>
      <c r="L52" s="385"/>
      <c r="M52" s="340"/>
      <c r="N52" s="385"/>
      <c r="O52" s="283"/>
    </row>
    <row r="53" spans="1:16" ht="13.5" thickTop="1" thickBot="1">
      <c r="A53" s="862"/>
      <c r="B53" s="263" t="s">
        <v>94</v>
      </c>
      <c r="C53" s="263" t="s">
        <v>95</v>
      </c>
      <c r="D53" s="374">
        <f t="shared" si="14"/>
        <v>18464</v>
      </c>
      <c r="E53" s="376"/>
      <c r="F53" s="376"/>
      <c r="G53" s="375">
        <v>386</v>
      </c>
      <c r="H53" s="375">
        <f>17587+491</f>
        <v>18078</v>
      </c>
      <c r="I53" s="367"/>
      <c r="J53" s="280">
        <f t="shared" si="15"/>
        <v>18585.086999999996</v>
      </c>
      <c r="K53" s="238"/>
      <c r="L53" s="238"/>
      <c r="M53" s="281">
        <v>498.70800000000003</v>
      </c>
      <c r="N53" s="281">
        <v>18078.563999999998</v>
      </c>
      <c r="O53" s="281">
        <v>7.8150000000000004</v>
      </c>
      <c r="P53" s="321"/>
    </row>
    <row r="54" spans="1:16" ht="13.5" thickTop="1" thickBot="1">
      <c r="A54" s="862"/>
      <c r="B54" s="275"/>
      <c r="C54" s="276" t="s">
        <v>89</v>
      </c>
      <c r="D54" s="371">
        <f t="shared" si="14"/>
        <v>1100</v>
      </c>
      <c r="E54" s="377"/>
      <c r="F54" s="377"/>
      <c r="G54" s="376"/>
      <c r="H54" s="376">
        <v>1100</v>
      </c>
      <c r="I54" s="372"/>
      <c r="J54" s="277">
        <f t="shared" si="15"/>
        <v>5672.5829999999996</v>
      </c>
      <c r="K54" s="282"/>
      <c r="L54" s="282"/>
      <c r="M54" s="238"/>
      <c r="N54" s="238">
        <v>5672.5829999999996</v>
      </c>
      <c r="O54" s="278"/>
    </row>
    <row r="55" spans="1:16" ht="13.5" thickTop="1" thickBot="1">
      <c r="A55" s="862"/>
      <c r="B55" s="275"/>
      <c r="C55" s="276" t="s">
        <v>90</v>
      </c>
      <c r="D55" s="371">
        <f t="shared" si="14"/>
        <v>0</v>
      </c>
      <c r="E55" s="372"/>
      <c r="F55" s="372"/>
      <c r="G55" s="372"/>
      <c r="H55" s="371"/>
      <c r="I55" s="371"/>
      <c r="J55" s="277">
        <f t="shared" si="15"/>
        <v>0</v>
      </c>
      <c r="K55" s="278"/>
      <c r="L55" s="278"/>
      <c r="M55" s="278"/>
      <c r="N55" s="277"/>
      <c r="O55" s="277"/>
    </row>
    <row r="56" spans="1:16" ht="13.5" thickTop="1" thickBot="1">
      <c r="A56" s="862"/>
      <c r="B56" s="275"/>
      <c r="C56" s="276" t="s">
        <v>91</v>
      </c>
      <c r="D56" s="371">
        <f t="shared" si="14"/>
        <v>0</v>
      </c>
      <c r="E56" s="372"/>
      <c r="F56" s="372"/>
      <c r="G56" s="372"/>
      <c r="H56" s="372"/>
      <c r="I56" s="371"/>
      <c r="J56" s="277">
        <f t="shared" si="15"/>
        <v>0</v>
      </c>
      <c r="K56" s="278"/>
      <c r="L56" s="278"/>
      <c r="M56" s="278"/>
      <c r="N56" s="278"/>
      <c r="O56" s="277"/>
    </row>
    <row r="57" spans="1:16" ht="13.5" thickTop="1" thickBot="1">
      <c r="A57" s="862"/>
      <c r="B57" s="263" t="s">
        <v>96</v>
      </c>
      <c r="C57" s="263" t="s">
        <v>97</v>
      </c>
      <c r="D57" s="367">
        <f t="shared" si="14"/>
        <v>233</v>
      </c>
      <c r="E57" s="367"/>
      <c r="F57" s="367"/>
      <c r="G57" s="367"/>
      <c r="H57" s="329">
        <v>233</v>
      </c>
      <c r="I57" s="367"/>
      <c r="J57" s="265">
        <f t="shared" si="15"/>
        <v>217.105965</v>
      </c>
      <c r="K57" s="265"/>
      <c r="L57" s="265"/>
      <c r="M57" s="265"/>
      <c r="N57" s="340">
        <v>217.105965</v>
      </c>
      <c r="O57" s="265"/>
    </row>
    <row r="58" spans="1:16" ht="13.5" thickTop="1" thickBot="1">
      <c r="A58" s="862"/>
      <c r="B58" s="263" t="s">
        <v>98</v>
      </c>
      <c r="C58" s="263" t="s">
        <v>99</v>
      </c>
      <c r="D58" s="367">
        <f t="shared" si="14"/>
        <v>0</v>
      </c>
      <c r="E58" s="367"/>
      <c r="F58" s="367"/>
      <c r="G58" s="367"/>
      <c r="H58" s="323"/>
      <c r="I58" s="367"/>
      <c r="J58" s="265">
        <f t="shared" si="15"/>
        <v>0</v>
      </c>
      <c r="K58" s="265"/>
      <c r="L58" s="265"/>
      <c r="M58" s="265"/>
      <c r="N58" s="283"/>
      <c r="O58" s="265"/>
    </row>
    <row r="59" spans="1:16" ht="13.5" thickTop="1" thickBot="1">
      <c r="A59" s="862"/>
      <c r="B59" s="204" t="s">
        <v>171</v>
      </c>
      <c r="C59" s="205" t="s">
        <v>190</v>
      </c>
      <c r="D59" s="325">
        <f t="shared" si="14"/>
        <v>2270</v>
      </c>
      <c r="E59" s="339"/>
      <c r="F59" s="339">
        <v>1350</v>
      </c>
      <c r="G59" s="284"/>
      <c r="H59" s="339">
        <v>350</v>
      </c>
      <c r="I59" s="339">
        <v>570</v>
      </c>
      <c r="J59" s="206">
        <f t="shared" si="15"/>
        <v>2114.819</v>
      </c>
      <c r="K59" s="589"/>
      <c r="L59" s="589">
        <v>900.72699999999998</v>
      </c>
      <c r="M59" s="214"/>
      <c r="N59" s="339">
        <f>108.4+370.253+13.727</f>
        <v>492.38</v>
      </c>
      <c r="O59" s="339">
        <f>593.126+128.586</f>
        <v>721.71199999999999</v>
      </c>
    </row>
    <row r="60" spans="1:16" ht="13.5" thickTop="1" thickBot="1">
      <c r="A60" s="862"/>
      <c r="B60" s="182" t="s">
        <v>172</v>
      </c>
      <c r="C60" s="182" t="s">
        <v>88</v>
      </c>
      <c r="D60" s="324">
        <f t="shared" si="14"/>
        <v>0</v>
      </c>
      <c r="E60" s="324"/>
      <c r="F60" s="324"/>
      <c r="G60" s="324"/>
      <c r="H60" s="324"/>
      <c r="I60" s="324"/>
      <c r="J60" s="196">
        <f t="shared" si="15"/>
        <v>0</v>
      </c>
      <c r="K60" s="196"/>
      <c r="L60" s="196"/>
      <c r="M60" s="196"/>
      <c r="N60" s="196"/>
      <c r="O60" s="196"/>
    </row>
    <row r="61" spans="1:16" ht="13.5" thickTop="1" thickBot="1">
      <c r="A61" s="862"/>
      <c r="B61" s="207"/>
      <c r="C61" s="208" t="s">
        <v>89</v>
      </c>
      <c r="D61" s="326">
        <f t="shared" si="14"/>
        <v>0</v>
      </c>
      <c r="E61" s="327"/>
      <c r="F61" s="327"/>
      <c r="G61" s="326"/>
      <c r="H61" s="326"/>
      <c r="I61" s="327"/>
      <c r="J61" s="209">
        <f t="shared" si="15"/>
        <v>0</v>
      </c>
      <c r="K61" s="210"/>
      <c r="L61" s="210"/>
      <c r="M61" s="381"/>
      <c r="N61" s="381"/>
      <c r="O61" s="210"/>
    </row>
    <row r="62" spans="1:16" ht="13.5" thickTop="1" thickBot="1">
      <c r="A62" s="862"/>
      <c r="B62" s="207"/>
      <c r="C62" s="208" t="s">
        <v>90</v>
      </c>
      <c r="D62" s="326">
        <f t="shared" si="14"/>
        <v>0</v>
      </c>
      <c r="E62" s="327"/>
      <c r="F62" s="327"/>
      <c r="G62" s="327"/>
      <c r="H62" s="326"/>
      <c r="I62" s="326"/>
      <c r="J62" s="209">
        <f t="shared" si="15"/>
        <v>0</v>
      </c>
      <c r="K62" s="210"/>
      <c r="L62" s="210"/>
      <c r="M62" s="382"/>
      <c r="N62" s="381"/>
      <c r="O62" s="209"/>
    </row>
    <row r="63" spans="1:16" ht="13.5" thickTop="1" thickBot="1">
      <c r="A63" s="862"/>
      <c r="B63" s="207"/>
      <c r="C63" s="208" t="s">
        <v>91</v>
      </c>
      <c r="D63" s="326">
        <f t="shared" si="14"/>
        <v>0</v>
      </c>
      <c r="E63" s="327"/>
      <c r="F63" s="327"/>
      <c r="G63" s="327"/>
      <c r="H63" s="327"/>
      <c r="I63" s="326"/>
      <c r="J63" s="209">
        <f t="shared" si="15"/>
        <v>0</v>
      </c>
      <c r="K63" s="210"/>
      <c r="L63" s="210"/>
      <c r="M63" s="210"/>
      <c r="N63" s="210"/>
      <c r="O63" s="209"/>
    </row>
    <row r="64" spans="1:16" ht="13.5" thickTop="1" thickBot="1">
      <c r="A64" s="862"/>
      <c r="B64" s="182" t="s">
        <v>173</v>
      </c>
      <c r="C64" s="182" t="s">
        <v>93</v>
      </c>
      <c r="D64" s="324">
        <f t="shared" si="14"/>
        <v>0</v>
      </c>
      <c r="E64" s="184"/>
      <c r="F64" s="184"/>
      <c r="G64" s="328"/>
      <c r="H64" s="328"/>
      <c r="I64" s="324"/>
      <c r="J64" s="196">
        <f t="shared" si="15"/>
        <v>0</v>
      </c>
      <c r="K64" s="334"/>
      <c r="L64" s="334"/>
      <c r="M64" s="211"/>
      <c r="N64" s="211"/>
      <c r="O64" s="196"/>
    </row>
    <row r="65" spans="1:20" ht="13.5" thickTop="1" thickBot="1">
      <c r="A65" s="862"/>
      <c r="B65" s="182" t="s">
        <v>174</v>
      </c>
      <c r="C65" s="182" t="s">
        <v>95</v>
      </c>
      <c r="D65" s="330">
        <f t="shared" si="14"/>
        <v>0</v>
      </c>
      <c r="E65" s="378"/>
      <c r="F65" s="326"/>
      <c r="G65" s="326"/>
      <c r="H65" s="326"/>
      <c r="I65" s="324"/>
      <c r="J65" s="213">
        <f t="shared" si="15"/>
        <v>0</v>
      </c>
      <c r="K65" s="319"/>
      <c r="L65" s="209"/>
      <c r="M65" s="209"/>
      <c r="N65" s="209"/>
      <c r="O65" s="196"/>
    </row>
    <row r="66" spans="1:20" ht="13.5" thickTop="1" thickBot="1">
      <c r="A66" s="862"/>
      <c r="B66" s="207"/>
      <c r="C66" s="208" t="s">
        <v>89</v>
      </c>
      <c r="D66" s="326">
        <f t="shared" si="14"/>
        <v>0</v>
      </c>
      <c r="E66" s="327"/>
      <c r="F66" s="327"/>
      <c r="G66" s="326"/>
      <c r="H66" s="326"/>
      <c r="I66" s="327"/>
      <c r="J66" s="209">
        <f t="shared" si="15"/>
        <v>0</v>
      </c>
      <c r="K66" s="210"/>
      <c r="L66" s="210"/>
      <c r="M66" s="209"/>
      <c r="N66" s="209"/>
      <c r="O66" s="210"/>
    </row>
    <row r="67" spans="1:20" ht="13.5" thickTop="1" thickBot="1">
      <c r="A67" s="862"/>
      <c r="B67" s="207"/>
      <c r="C67" s="208" t="s">
        <v>90</v>
      </c>
      <c r="D67" s="326">
        <f t="shared" si="14"/>
        <v>0</v>
      </c>
      <c r="E67" s="327"/>
      <c r="F67" s="327"/>
      <c r="G67" s="327"/>
      <c r="H67" s="326"/>
      <c r="I67" s="326"/>
      <c r="J67" s="209">
        <f t="shared" si="15"/>
        <v>0</v>
      </c>
      <c r="K67" s="210"/>
      <c r="L67" s="210"/>
      <c r="M67" s="210"/>
      <c r="N67" s="209"/>
      <c r="O67" s="209"/>
      <c r="P67" s="321"/>
    </row>
    <row r="68" spans="1:20" ht="13.5" thickTop="1" thickBot="1">
      <c r="A68" s="862"/>
      <c r="B68" s="207"/>
      <c r="C68" s="208" t="s">
        <v>91</v>
      </c>
      <c r="D68" s="326">
        <f t="shared" si="14"/>
        <v>0</v>
      </c>
      <c r="E68" s="327"/>
      <c r="F68" s="327"/>
      <c r="G68" s="327"/>
      <c r="H68" s="327"/>
      <c r="I68" s="326"/>
      <c r="J68" s="209">
        <f t="shared" si="15"/>
        <v>0</v>
      </c>
      <c r="K68" s="210"/>
      <c r="L68" s="210"/>
      <c r="M68" s="210"/>
      <c r="N68" s="210"/>
      <c r="O68" s="209"/>
      <c r="P68" s="24"/>
      <c r="Q68" s="24"/>
    </row>
    <row r="69" spans="1:20" ht="13.5" thickTop="1" thickBot="1">
      <c r="A69" s="862"/>
      <c r="B69" s="182" t="s">
        <v>176</v>
      </c>
      <c r="C69" s="182" t="s">
        <v>97</v>
      </c>
      <c r="D69" s="324">
        <f t="shared" si="14"/>
        <v>0</v>
      </c>
      <c r="E69" s="324"/>
      <c r="F69" s="324"/>
      <c r="G69" s="324"/>
      <c r="H69" s="323"/>
      <c r="I69" s="324"/>
      <c r="J69" s="196">
        <f t="shared" si="15"/>
        <v>0</v>
      </c>
      <c r="K69" s="196"/>
      <c r="L69" s="196"/>
      <c r="M69" s="196"/>
      <c r="N69" s="185"/>
      <c r="O69" s="196"/>
    </row>
    <row r="70" spans="1:20" ht="13.5" thickTop="1" thickBot="1">
      <c r="A70" s="862"/>
      <c r="B70" s="182" t="s">
        <v>175</v>
      </c>
      <c r="C70" s="182" t="s">
        <v>99</v>
      </c>
      <c r="D70" s="324">
        <f t="shared" si="14"/>
        <v>0</v>
      </c>
      <c r="E70" s="324"/>
      <c r="F70" s="324"/>
      <c r="G70" s="324"/>
      <c r="H70" s="323"/>
      <c r="I70" s="324"/>
      <c r="J70" s="196">
        <f t="shared" si="15"/>
        <v>0</v>
      </c>
      <c r="K70" s="196"/>
      <c r="L70" s="196"/>
      <c r="M70" s="196"/>
      <c r="N70" s="185"/>
      <c r="O70" s="196"/>
    </row>
    <row r="71" spans="1:20" ht="13.5" thickTop="1" thickBot="1">
      <c r="A71" s="862"/>
      <c r="B71" s="204" t="s">
        <v>177</v>
      </c>
      <c r="C71" s="205" t="s">
        <v>203</v>
      </c>
      <c r="D71" s="325">
        <f t="shared" si="14"/>
        <v>2580</v>
      </c>
      <c r="E71" s="284"/>
      <c r="F71" s="284"/>
      <c r="G71" s="339">
        <v>1260</v>
      </c>
      <c r="H71" s="339">
        <v>1320</v>
      </c>
      <c r="I71" s="284"/>
      <c r="J71" s="581">
        <f t="shared" si="15"/>
        <v>2514.5939999999982</v>
      </c>
      <c r="K71" s="284"/>
      <c r="L71" s="284"/>
      <c r="M71" s="589"/>
      <c r="N71" s="589">
        <v>-4233.742000000002</v>
      </c>
      <c r="O71" s="350">
        <v>6748.3360000000002</v>
      </c>
      <c r="Q71" s="24"/>
      <c r="R71" s="321"/>
    </row>
    <row r="72" spans="1:20" ht="13.5" thickTop="1" thickBot="1">
      <c r="A72" s="862"/>
      <c r="B72" s="182" t="s">
        <v>178</v>
      </c>
      <c r="C72" s="182" t="s">
        <v>88</v>
      </c>
      <c r="D72" s="324">
        <f t="shared" si="14"/>
        <v>0</v>
      </c>
      <c r="E72" s="324"/>
      <c r="F72" s="324"/>
      <c r="G72" s="324"/>
      <c r="H72" s="324"/>
      <c r="I72" s="324"/>
      <c r="J72" s="196">
        <f t="shared" si="15"/>
        <v>0</v>
      </c>
      <c r="K72" s="196"/>
      <c r="L72" s="196"/>
      <c r="M72" s="265"/>
      <c r="N72" s="265"/>
      <c r="O72" s="196"/>
      <c r="T72" s="24"/>
    </row>
    <row r="73" spans="1:20" ht="13.5" thickTop="1" thickBot="1">
      <c r="A73" s="862"/>
      <c r="B73" s="207"/>
      <c r="C73" s="208" t="s">
        <v>89</v>
      </c>
      <c r="D73" s="326">
        <f t="shared" si="14"/>
        <v>788</v>
      </c>
      <c r="E73" s="327"/>
      <c r="F73" s="327"/>
      <c r="G73" s="602">
        <f>G71-G78</f>
        <v>143</v>
      </c>
      <c r="H73" s="602">
        <f>H71-H78</f>
        <v>645</v>
      </c>
      <c r="I73" s="327"/>
      <c r="J73" s="209">
        <f t="shared" si="15"/>
        <v>-27767.409000000003</v>
      </c>
      <c r="K73" s="210"/>
      <c r="L73" s="210"/>
      <c r="M73" s="320"/>
      <c r="N73" s="602">
        <v>-27767.409000000003</v>
      </c>
      <c r="O73" s="210"/>
      <c r="P73" s="592"/>
      <c r="Q73" s="24"/>
      <c r="R73" s="24"/>
    </row>
    <row r="74" spans="1:20" ht="13.5" thickTop="1" thickBot="1">
      <c r="A74" s="862"/>
      <c r="B74" s="207"/>
      <c r="C74" s="208" t="s">
        <v>90</v>
      </c>
      <c r="D74" s="326">
        <f t="shared" si="14"/>
        <v>0</v>
      </c>
      <c r="E74" s="327"/>
      <c r="F74" s="327"/>
      <c r="G74" s="630"/>
      <c r="H74" s="631"/>
      <c r="I74" s="326"/>
      <c r="J74" s="209">
        <f t="shared" si="15"/>
        <v>0</v>
      </c>
      <c r="K74" s="210"/>
      <c r="L74" s="210"/>
      <c r="M74" s="210"/>
      <c r="N74" s="320"/>
      <c r="O74" s="209"/>
      <c r="P74" s="24"/>
      <c r="Q74" s="81"/>
    </row>
    <row r="75" spans="1:20" ht="13.5" thickTop="1" thickBot="1">
      <c r="A75" s="862"/>
      <c r="B75" s="207"/>
      <c r="C75" s="208" t="s">
        <v>91</v>
      </c>
      <c r="D75" s="326">
        <f t="shared" si="14"/>
        <v>0</v>
      </c>
      <c r="E75" s="327"/>
      <c r="F75" s="327"/>
      <c r="G75" s="630"/>
      <c r="H75" s="630"/>
      <c r="I75" s="326"/>
      <c r="J75" s="209">
        <f t="shared" si="15"/>
        <v>0</v>
      </c>
      <c r="K75" s="210"/>
      <c r="L75" s="210"/>
      <c r="M75" s="210"/>
      <c r="N75" s="210"/>
      <c r="O75" s="209"/>
      <c r="Q75" s="81"/>
      <c r="R75" s="24"/>
    </row>
    <row r="76" spans="1:20" ht="13.5" thickTop="1" thickBot="1">
      <c r="A76" s="862"/>
      <c r="B76" s="182" t="s">
        <v>179</v>
      </c>
      <c r="C76" s="182" t="s">
        <v>93</v>
      </c>
      <c r="D76" s="324">
        <f t="shared" si="14"/>
        <v>0</v>
      </c>
      <c r="E76" s="324"/>
      <c r="F76" s="324"/>
      <c r="G76" s="632"/>
      <c r="H76" s="632"/>
      <c r="I76" s="324"/>
      <c r="J76" s="196">
        <f t="shared" si="15"/>
        <v>0</v>
      </c>
      <c r="K76" s="196"/>
      <c r="L76" s="196"/>
      <c r="M76" s="211"/>
      <c r="N76" s="211"/>
      <c r="O76" s="196"/>
      <c r="Q76" s="24"/>
    </row>
    <row r="77" spans="1:20" ht="13.5" thickTop="1" thickBot="1">
      <c r="A77" s="862"/>
      <c r="B77" s="182" t="s">
        <v>180</v>
      </c>
      <c r="C77" s="182" t="s">
        <v>95</v>
      </c>
      <c r="D77" s="330">
        <f t="shared" si="14"/>
        <v>0</v>
      </c>
      <c r="E77" s="380"/>
      <c r="F77" s="326"/>
      <c r="G77" s="602"/>
      <c r="H77" s="602"/>
      <c r="I77" s="324"/>
      <c r="J77" s="431">
        <f t="shared" si="15"/>
        <v>0</v>
      </c>
      <c r="K77" s="383"/>
      <c r="L77" s="209"/>
      <c r="M77" s="320"/>
      <c r="N77" s="320"/>
      <c r="O77" s="196"/>
      <c r="Q77" s="24"/>
    </row>
    <row r="78" spans="1:20" ht="13.5" thickTop="1" thickBot="1">
      <c r="A78" s="862"/>
      <c r="B78" s="207"/>
      <c r="C78" s="208" t="s">
        <v>89</v>
      </c>
      <c r="D78" s="326">
        <f t="shared" si="14"/>
        <v>1792</v>
      </c>
      <c r="E78" s="327"/>
      <c r="F78" s="327"/>
      <c r="G78" s="602">
        <v>1117</v>
      </c>
      <c r="H78" s="602">
        <f>321+354</f>
        <v>675</v>
      </c>
      <c r="I78" s="327"/>
      <c r="J78" s="209">
        <f t="shared" si="15"/>
        <v>2380.1869999999999</v>
      </c>
      <c r="K78" s="210"/>
      <c r="L78" s="210"/>
      <c r="M78" s="381"/>
      <c r="N78" s="381">
        <v>2380.1869999999999</v>
      </c>
      <c r="O78" s="210"/>
      <c r="Q78" s="318"/>
      <c r="R78" s="592"/>
    </row>
    <row r="79" spans="1:20" ht="13.5" thickTop="1" thickBot="1">
      <c r="A79" s="862"/>
      <c r="B79" s="207"/>
      <c r="C79" s="208" t="s">
        <v>90</v>
      </c>
      <c r="D79" s="326">
        <f t="shared" si="14"/>
        <v>0</v>
      </c>
      <c r="E79" s="327"/>
      <c r="F79" s="327"/>
      <c r="G79" s="327"/>
      <c r="H79" s="326"/>
      <c r="I79" s="326"/>
      <c r="J79" s="209">
        <f t="shared" si="15"/>
        <v>0</v>
      </c>
      <c r="K79" s="210"/>
      <c r="L79" s="210"/>
      <c r="M79" s="210"/>
      <c r="N79" s="209"/>
      <c r="O79" s="209"/>
      <c r="P79" s="318"/>
      <c r="Q79" s="318"/>
    </row>
    <row r="80" spans="1:20" ht="13.5" thickTop="1" thickBot="1">
      <c r="A80" s="862"/>
      <c r="B80" s="207"/>
      <c r="C80" s="208" t="s">
        <v>91</v>
      </c>
      <c r="D80" s="326">
        <f t="shared" si="14"/>
        <v>0</v>
      </c>
      <c r="E80" s="327"/>
      <c r="F80" s="327"/>
      <c r="G80" s="327"/>
      <c r="H80" s="327"/>
      <c r="I80" s="326"/>
      <c r="J80" s="209">
        <f t="shared" si="15"/>
        <v>0</v>
      </c>
      <c r="K80" s="210"/>
      <c r="L80" s="210"/>
      <c r="M80" s="210"/>
      <c r="N80" s="210"/>
      <c r="O80" s="209"/>
    </row>
    <row r="81" spans="1:16" ht="13.5" thickTop="1" thickBot="1">
      <c r="A81" s="862"/>
      <c r="B81" s="182" t="s">
        <v>181</v>
      </c>
      <c r="C81" s="182" t="s">
        <v>97</v>
      </c>
      <c r="D81" s="324">
        <f t="shared" si="14"/>
        <v>0</v>
      </c>
      <c r="E81" s="324"/>
      <c r="F81" s="324"/>
      <c r="G81" s="324"/>
      <c r="H81" s="323"/>
      <c r="I81" s="324"/>
      <c r="J81" s="196">
        <f t="shared" si="15"/>
        <v>0</v>
      </c>
      <c r="K81" s="196"/>
      <c r="L81" s="196"/>
      <c r="M81" s="196"/>
      <c r="N81" s="185"/>
      <c r="O81" s="196"/>
    </row>
    <row r="82" spans="1:16" ht="13.5" thickTop="1" thickBot="1">
      <c r="A82" s="862"/>
      <c r="B82" s="182" t="s">
        <v>182</v>
      </c>
      <c r="C82" s="182" t="s">
        <v>99</v>
      </c>
      <c r="D82" s="324">
        <f t="shared" si="14"/>
        <v>0</v>
      </c>
      <c r="E82" s="324"/>
      <c r="F82" s="324"/>
      <c r="G82" s="324"/>
      <c r="H82" s="323"/>
      <c r="I82" s="324"/>
      <c r="J82" s="196">
        <f t="shared" si="15"/>
        <v>0</v>
      </c>
      <c r="K82" s="196"/>
      <c r="L82" s="196"/>
      <c r="M82" s="196"/>
      <c r="N82" s="185"/>
      <c r="O82" s="196"/>
      <c r="P82" s="318"/>
    </row>
    <row r="83" spans="1:16" ht="13.5" thickTop="1" thickBot="1">
      <c r="A83" s="862"/>
      <c r="B83" s="204" t="s">
        <v>183</v>
      </c>
      <c r="C83" s="205" t="s">
        <v>189</v>
      </c>
      <c r="D83" s="325">
        <f t="shared" si="14"/>
        <v>81850</v>
      </c>
      <c r="E83" s="284"/>
      <c r="F83" s="339">
        <v>81850</v>
      </c>
      <c r="G83" s="284"/>
      <c r="H83" s="284"/>
      <c r="I83" s="284"/>
      <c r="J83" s="206">
        <f t="shared" si="15"/>
        <v>71556.591</v>
      </c>
      <c r="K83" s="284"/>
      <c r="L83" s="339">
        <v>71556.591</v>
      </c>
      <c r="M83" s="214"/>
      <c r="N83" s="214"/>
      <c r="O83" s="214"/>
    </row>
    <row r="84" spans="1:16" ht="13.5" thickTop="1" thickBot="1">
      <c r="A84" s="862"/>
      <c r="B84" s="182" t="s">
        <v>184</v>
      </c>
      <c r="C84" s="182" t="s">
        <v>88</v>
      </c>
      <c r="D84" s="324">
        <f t="shared" si="14"/>
        <v>0</v>
      </c>
      <c r="E84" s="324"/>
      <c r="F84" s="324"/>
      <c r="G84" s="324"/>
      <c r="H84" s="324"/>
      <c r="I84" s="324"/>
      <c r="J84" s="196">
        <f t="shared" si="15"/>
        <v>0</v>
      </c>
      <c r="K84" s="196"/>
      <c r="L84" s="196"/>
      <c r="M84" s="196"/>
      <c r="N84" s="196"/>
      <c r="O84" s="196"/>
    </row>
    <row r="85" spans="1:16" ht="13.5" thickTop="1" thickBot="1">
      <c r="A85" s="862"/>
      <c r="B85" s="207"/>
      <c r="C85" s="208" t="s">
        <v>89</v>
      </c>
      <c r="D85" s="326">
        <f t="shared" si="14"/>
        <v>0</v>
      </c>
      <c r="E85" s="327"/>
      <c r="F85" s="327"/>
      <c r="G85" s="326"/>
      <c r="H85" s="326"/>
      <c r="I85" s="327"/>
      <c r="J85" s="209">
        <f t="shared" si="15"/>
        <v>0</v>
      </c>
      <c r="K85" s="210"/>
      <c r="L85" s="210"/>
      <c r="M85" s="209"/>
      <c r="N85" s="209"/>
      <c r="O85" s="210"/>
    </row>
    <row r="86" spans="1:16" ht="13.5" thickTop="1" thickBot="1">
      <c r="A86" s="862"/>
      <c r="B86" s="207"/>
      <c r="C86" s="208" t="s">
        <v>90</v>
      </c>
      <c r="D86" s="326">
        <f t="shared" si="14"/>
        <v>0</v>
      </c>
      <c r="E86" s="327"/>
      <c r="F86" s="327"/>
      <c r="G86" s="327"/>
      <c r="H86" s="326"/>
      <c r="I86" s="326"/>
      <c r="J86" s="209">
        <f t="shared" si="15"/>
        <v>0</v>
      </c>
      <c r="K86" s="210"/>
      <c r="L86" s="210"/>
      <c r="M86" s="210"/>
      <c r="N86" s="209"/>
      <c r="O86" s="209"/>
    </row>
    <row r="87" spans="1:16" ht="13.5" thickTop="1" thickBot="1">
      <c r="A87" s="862"/>
      <c r="B87" s="207"/>
      <c r="C87" s="208" t="s">
        <v>91</v>
      </c>
      <c r="D87" s="326">
        <f t="shared" si="14"/>
        <v>0</v>
      </c>
      <c r="E87" s="327"/>
      <c r="F87" s="327"/>
      <c r="G87" s="327"/>
      <c r="H87" s="327"/>
      <c r="I87" s="326"/>
      <c r="J87" s="209">
        <f t="shared" si="15"/>
        <v>0</v>
      </c>
      <c r="K87" s="210"/>
      <c r="L87" s="210"/>
      <c r="M87" s="210"/>
      <c r="N87" s="210"/>
      <c r="O87" s="209"/>
    </row>
    <row r="88" spans="1:16" ht="13.5" thickTop="1" thickBot="1">
      <c r="A88" s="862"/>
      <c r="B88" s="182" t="s">
        <v>185</v>
      </c>
      <c r="C88" s="182" t="s">
        <v>93</v>
      </c>
      <c r="D88" s="324">
        <f t="shared" si="14"/>
        <v>0</v>
      </c>
      <c r="E88" s="324"/>
      <c r="F88" s="324"/>
      <c r="G88" s="328"/>
      <c r="H88" s="328"/>
      <c r="I88" s="324"/>
      <c r="J88" s="196">
        <f t="shared" si="15"/>
        <v>0</v>
      </c>
      <c r="K88" s="196"/>
      <c r="L88" s="196"/>
      <c r="M88" s="211"/>
      <c r="N88" s="211"/>
      <c r="O88" s="196"/>
    </row>
    <row r="89" spans="1:16" ht="13.5" thickTop="1" thickBot="1">
      <c r="A89" s="862"/>
      <c r="B89" s="182" t="s">
        <v>186</v>
      </c>
      <c r="C89" s="182" t="s">
        <v>95</v>
      </c>
      <c r="D89" s="330">
        <f t="shared" si="14"/>
        <v>29269</v>
      </c>
      <c r="E89" s="380"/>
      <c r="F89" s="331">
        <v>29269</v>
      </c>
      <c r="G89" s="326"/>
      <c r="H89" s="326"/>
      <c r="I89" s="324"/>
      <c r="J89" s="213">
        <f t="shared" si="15"/>
        <v>30906.7</v>
      </c>
      <c r="K89" s="383"/>
      <c r="L89" s="320">
        <v>30906.7</v>
      </c>
      <c r="M89" s="209"/>
      <c r="N89" s="209"/>
      <c r="O89" s="196"/>
    </row>
    <row r="90" spans="1:16" ht="13.5" thickTop="1" thickBot="1">
      <c r="A90" s="862"/>
      <c r="B90" s="207"/>
      <c r="C90" s="208" t="s">
        <v>89</v>
      </c>
      <c r="D90" s="326">
        <f t="shared" si="14"/>
        <v>0</v>
      </c>
      <c r="E90" s="327"/>
      <c r="F90" s="327"/>
      <c r="G90" s="326"/>
      <c r="H90" s="326"/>
      <c r="I90" s="327"/>
      <c r="J90" s="209">
        <f t="shared" si="15"/>
        <v>0</v>
      </c>
      <c r="K90" s="210"/>
      <c r="L90" s="210"/>
      <c r="M90" s="209"/>
      <c r="N90" s="209"/>
      <c r="O90" s="210"/>
    </row>
    <row r="91" spans="1:16" ht="13.5" thickTop="1" thickBot="1">
      <c r="A91" s="862"/>
      <c r="B91" s="207"/>
      <c r="C91" s="208" t="s">
        <v>90</v>
      </c>
      <c r="D91" s="326">
        <f t="shared" si="14"/>
        <v>0</v>
      </c>
      <c r="E91" s="327"/>
      <c r="F91" s="327"/>
      <c r="G91" s="327"/>
      <c r="H91" s="326"/>
      <c r="I91" s="326"/>
      <c r="J91" s="209">
        <f t="shared" si="15"/>
        <v>0</v>
      </c>
      <c r="K91" s="210"/>
      <c r="L91" s="210"/>
      <c r="M91" s="210"/>
      <c r="N91" s="209"/>
      <c r="O91" s="209"/>
    </row>
    <row r="92" spans="1:16" ht="13.5" thickTop="1" thickBot="1">
      <c r="A92" s="862"/>
      <c r="B92" s="207"/>
      <c r="C92" s="208" t="s">
        <v>91</v>
      </c>
      <c r="D92" s="326">
        <f t="shared" si="14"/>
        <v>0</v>
      </c>
      <c r="E92" s="327"/>
      <c r="F92" s="327"/>
      <c r="G92" s="327"/>
      <c r="H92" s="327"/>
      <c r="I92" s="326"/>
      <c r="J92" s="209">
        <f t="shared" si="15"/>
        <v>0</v>
      </c>
      <c r="K92" s="210"/>
      <c r="L92" s="210"/>
      <c r="M92" s="210"/>
      <c r="N92" s="210"/>
      <c r="O92" s="209"/>
    </row>
    <row r="93" spans="1:16" ht="13.5" thickTop="1" thickBot="1">
      <c r="A93" s="862"/>
      <c r="B93" s="182" t="s">
        <v>187</v>
      </c>
      <c r="C93" s="182" t="s">
        <v>97</v>
      </c>
      <c r="D93" s="324">
        <f t="shared" si="14"/>
        <v>0</v>
      </c>
      <c r="E93" s="324"/>
      <c r="F93" s="324"/>
      <c r="G93" s="324"/>
      <c r="H93" s="323"/>
      <c r="I93" s="324"/>
      <c r="J93" s="196">
        <f t="shared" si="15"/>
        <v>0</v>
      </c>
      <c r="K93" s="196"/>
      <c r="L93" s="196"/>
      <c r="M93" s="196"/>
      <c r="N93" s="185"/>
      <c r="O93" s="196"/>
    </row>
    <row r="94" spans="1:16" ht="13.5" thickTop="1" thickBot="1">
      <c r="A94" s="862"/>
      <c r="B94" s="182" t="s">
        <v>188</v>
      </c>
      <c r="C94" s="182" t="s">
        <v>99</v>
      </c>
      <c r="D94" s="324">
        <f t="shared" si="14"/>
        <v>0</v>
      </c>
      <c r="E94" s="324"/>
      <c r="F94" s="324"/>
      <c r="G94" s="324"/>
      <c r="H94" s="323"/>
      <c r="I94" s="324"/>
      <c r="J94" s="196">
        <f t="shared" si="15"/>
        <v>0</v>
      </c>
      <c r="K94" s="196"/>
      <c r="L94" s="196"/>
      <c r="M94" s="196"/>
      <c r="N94" s="196"/>
      <c r="O94" s="196"/>
    </row>
    <row r="95" spans="1:16" ht="13.5" thickTop="1" thickBot="1">
      <c r="A95" s="862"/>
      <c r="B95" s="204" t="s">
        <v>197</v>
      </c>
      <c r="C95" s="595" t="s">
        <v>204</v>
      </c>
      <c r="D95" s="325">
        <f t="shared" ref="D95:D106" si="16">SUM(E95:I95)</f>
        <v>4700</v>
      </c>
      <c r="E95" s="284"/>
      <c r="F95" s="325"/>
      <c r="G95" s="284"/>
      <c r="H95" s="339">
        <v>4700</v>
      </c>
      <c r="I95" s="284"/>
      <c r="J95" s="206">
        <f t="shared" ref="J95:J106" si="17">SUM(K95:O95)</f>
        <v>3226.8919999999998</v>
      </c>
      <c r="K95" s="284"/>
      <c r="L95" s="325"/>
      <c r="M95" s="214"/>
      <c r="N95" s="692">
        <v>3226.8919999999998</v>
      </c>
      <c r="O95" s="214"/>
    </row>
    <row r="96" spans="1:16" ht="13.5" thickTop="1" thickBot="1">
      <c r="A96" s="862"/>
      <c r="B96" s="182" t="s">
        <v>198</v>
      </c>
      <c r="C96" s="182" t="s">
        <v>88</v>
      </c>
      <c r="D96" s="324">
        <f t="shared" si="16"/>
        <v>0</v>
      </c>
      <c r="E96" s="324"/>
      <c r="F96" s="324"/>
      <c r="G96" s="324"/>
      <c r="H96" s="691"/>
      <c r="I96" s="324"/>
      <c r="J96" s="196">
        <f t="shared" si="17"/>
        <v>0</v>
      </c>
      <c r="K96" s="196"/>
      <c r="L96" s="196"/>
      <c r="M96" s="196"/>
      <c r="N96" s="712"/>
      <c r="O96" s="196"/>
    </row>
    <row r="97" spans="1:15" ht="13.5" thickTop="1" thickBot="1">
      <c r="A97" s="862"/>
      <c r="B97" s="207"/>
      <c r="C97" s="208" t="s">
        <v>89</v>
      </c>
      <c r="D97" s="326">
        <f t="shared" si="16"/>
        <v>1160</v>
      </c>
      <c r="E97" s="327"/>
      <c r="F97" s="327"/>
      <c r="G97" s="326"/>
      <c r="H97" s="692">
        <v>1160</v>
      </c>
      <c r="I97" s="327"/>
      <c r="J97" s="209">
        <f t="shared" si="17"/>
        <v>923.28599999999994</v>
      </c>
      <c r="K97" s="210"/>
      <c r="L97" s="210"/>
      <c r="M97" s="209"/>
      <c r="N97" s="699">
        <v>923.28599999999994</v>
      </c>
      <c r="O97" s="210"/>
    </row>
    <row r="98" spans="1:15" ht="13.5" thickTop="1" thickBot="1">
      <c r="A98" s="862"/>
      <c r="B98" s="207"/>
      <c r="C98" s="208" t="s">
        <v>90</v>
      </c>
      <c r="D98" s="326">
        <f t="shared" si="16"/>
        <v>2340</v>
      </c>
      <c r="E98" s="327"/>
      <c r="F98" s="327"/>
      <c r="G98" s="327"/>
      <c r="H98" s="692">
        <v>2340</v>
      </c>
      <c r="I98" s="326"/>
      <c r="J98" s="209">
        <f t="shared" si="17"/>
        <v>1037.0129999999999</v>
      </c>
      <c r="K98" s="210"/>
      <c r="L98" s="210"/>
      <c r="M98" s="210"/>
      <c r="N98" s="699">
        <v>1037.0129999999999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6"/>
        <v>0</v>
      </c>
      <c r="E99" s="327"/>
      <c r="F99" s="327"/>
      <c r="G99" s="327"/>
      <c r="H99" s="327"/>
      <c r="I99" s="326"/>
      <c r="J99" s="209">
        <f t="shared" si="17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6"/>
        <v>0</v>
      </c>
      <c r="E100" s="324"/>
      <c r="F100" s="324"/>
      <c r="G100" s="328"/>
      <c r="H100" s="328"/>
      <c r="I100" s="324"/>
      <c r="J100" s="196">
        <f t="shared" si="17"/>
        <v>0</v>
      </c>
      <c r="K100" s="196"/>
      <c r="L100" s="196"/>
      <c r="M100" s="211"/>
      <c r="N100" s="432"/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6"/>
        <v>0</v>
      </c>
      <c r="E101" s="380"/>
      <c r="F101" s="331"/>
      <c r="G101" s="326"/>
      <c r="H101" s="326"/>
      <c r="I101" s="324"/>
      <c r="J101" s="213">
        <f t="shared" si="17"/>
        <v>0</v>
      </c>
      <c r="K101" s="383"/>
      <c r="L101" s="320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6"/>
        <v>0</v>
      </c>
      <c r="E102" s="327"/>
      <c r="F102" s="327"/>
      <c r="G102" s="326"/>
      <c r="H102" s="326"/>
      <c r="I102" s="327"/>
      <c r="J102" s="209">
        <f t="shared" si="17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6"/>
        <v>0</v>
      </c>
      <c r="E103" s="327"/>
      <c r="F103" s="327"/>
      <c r="G103" s="327"/>
      <c r="H103" s="326"/>
      <c r="I103" s="326"/>
      <c r="J103" s="209">
        <f t="shared" si="17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6"/>
        <v>0</v>
      </c>
      <c r="E104" s="327"/>
      <c r="F104" s="327"/>
      <c r="G104" s="327"/>
      <c r="H104" s="327"/>
      <c r="I104" s="326"/>
      <c r="J104" s="209">
        <f t="shared" si="17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6"/>
        <v>0</v>
      </c>
      <c r="E105" s="324"/>
      <c r="F105" s="324"/>
      <c r="G105" s="324"/>
      <c r="H105" s="324"/>
      <c r="I105" s="324"/>
      <c r="J105" s="196">
        <f t="shared" si="17"/>
        <v>0</v>
      </c>
      <c r="K105" s="196"/>
      <c r="L105" s="196"/>
      <c r="M105" s="196"/>
      <c r="N105" s="185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6"/>
        <v>0</v>
      </c>
      <c r="E106" s="324"/>
      <c r="F106" s="324"/>
      <c r="G106" s="324"/>
      <c r="H106" s="323"/>
      <c r="I106" s="324"/>
      <c r="J106" s="196">
        <f t="shared" si="17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>
        <f t="shared" ref="D107:D130" si="18">SUM(E107:I107)</f>
        <v>0</v>
      </c>
      <c r="E107" s="284"/>
      <c r="F107" s="325"/>
      <c r="G107" s="284"/>
      <c r="H107" s="339"/>
      <c r="I107" s="284"/>
      <c r="J107" s="206">
        <f t="shared" ref="J107:J130" si="19">SUM(K107:O107)</f>
        <v>739.24300000000005</v>
      </c>
      <c r="K107" s="284"/>
      <c r="L107" s="325"/>
      <c r="M107" s="214"/>
      <c r="N107" s="339">
        <v>739.24300000000005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8"/>
        <v>0</v>
      </c>
      <c r="E108" s="324"/>
      <c r="F108" s="324"/>
      <c r="G108" s="324"/>
      <c r="H108" s="324"/>
      <c r="I108" s="324"/>
      <c r="J108" s="196">
        <f t="shared" si="19"/>
        <v>0</v>
      </c>
      <c r="K108" s="196"/>
      <c r="L108" s="196"/>
      <c r="M108" s="196"/>
      <c r="N108" s="196"/>
      <c r="O108" s="196"/>
    </row>
    <row r="109" spans="1:15" ht="13.5" thickTop="1" thickBot="1">
      <c r="A109" s="862"/>
      <c r="B109" s="207"/>
      <c r="C109" s="208" t="s">
        <v>89</v>
      </c>
      <c r="D109" s="326">
        <f t="shared" si="18"/>
        <v>0</v>
      </c>
      <c r="E109" s="327"/>
      <c r="F109" s="327"/>
      <c r="G109" s="326"/>
      <c r="H109" s="339"/>
      <c r="I109" s="327"/>
      <c r="J109" s="209">
        <f t="shared" si="19"/>
        <v>739.24300000000005</v>
      </c>
      <c r="K109" s="210"/>
      <c r="L109" s="210"/>
      <c r="M109" s="209"/>
      <c r="N109" s="339">
        <v>739.24300000000005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8"/>
        <v>0</v>
      </c>
      <c r="E110" s="327"/>
      <c r="F110" s="327"/>
      <c r="G110" s="327"/>
      <c r="H110" s="339"/>
      <c r="I110" s="326"/>
      <c r="J110" s="209">
        <f t="shared" si="19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8"/>
        <v>0</v>
      </c>
      <c r="E111" s="327"/>
      <c r="F111" s="327"/>
      <c r="G111" s="327"/>
      <c r="H111" s="327"/>
      <c r="I111" s="326"/>
      <c r="J111" s="209">
        <f t="shared" si="19"/>
        <v>0</v>
      </c>
      <c r="K111" s="210"/>
      <c r="L111" s="210"/>
      <c r="M111" s="210"/>
      <c r="N111" s="210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8"/>
        <v>0</v>
      </c>
      <c r="E112" s="324"/>
      <c r="F112" s="324"/>
      <c r="G112" s="328"/>
      <c r="H112" s="328"/>
      <c r="I112" s="324"/>
      <c r="J112" s="196">
        <f t="shared" si="19"/>
        <v>0</v>
      </c>
      <c r="K112" s="196"/>
      <c r="L112" s="196"/>
      <c r="M112" s="211"/>
      <c r="N112" s="211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8"/>
        <v>0</v>
      </c>
      <c r="E113" s="380"/>
      <c r="F113" s="331"/>
      <c r="G113" s="326"/>
      <c r="H113" s="326"/>
      <c r="I113" s="324"/>
      <c r="J113" s="213">
        <f t="shared" si="19"/>
        <v>0</v>
      </c>
      <c r="K113" s="383"/>
      <c r="L113" s="320"/>
      <c r="M113" s="209"/>
      <c r="N113" s="209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8"/>
        <v>0</v>
      </c>
      <c r="E114" s="327"/>
      <c r="F114" s="327"/>
      <c r="G114" s="326"/>
      <c r="H114" s="326"/>
      <c r="I114" s="327"/>
      <c r="J114" s="209">
        <f t="shared" si="19"/>
        <v>0</v>
      </c>
      <c r="K114" s="210"/>
      <c r="L114" s="210"/>
      <c r="M114" s="209"/>
      <c r="N114" s="209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8"/>
        <v>0</v>
      </c>
      <c r="E115" s="327"/>
      <c r="F115" s="327"/>
      <c r="G115" s="327"/>
      <c r="H115" s="326"/>
      <c r="I115" s="326"/>
      <c r="J115" s="209">
        <f t="shared" si="19"/>
        <v>0</v>
      </c>
      <c r="K115" s="210"/>
      <c r="L115" s="210"/>
      <c r="M115" s="210"/>
      <c r="N115" s="209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8"/>
        <v>0</v>
      </c>
      <c r="E116" s="327"/>
      <c r="F116" s="327"/>
      <c r="G116" s="327"/>
      <c r="H116" s="327"/>
      <c r="I116" s="326"/>
      <c r="J116" s="209">
        <f t="shared" si="19"/>
        <v>0</v>
      </c>
      <c r="K116" s="210"/>
      <c r="L116" s="210"/>
      <c r="M116" s="210"/>
      <c r="N116" s="210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8"/>
        <v>0</v>
      </c>
      <c r="E117" s="324"/>
      <c r="F117" s="324"/>
      <c r="G117" s="324"/>
      <c r="H117" s="324"/>
      <c r="I117" s="324"/>
      <c r="J117" s="196">
        <f t="shared" si="19"/>
        <v>0</v>
      </c>
      <c r="K117" s="196"/>
      <c r="L117" s="196"/>
      <c r="M117" s="196"/>
      <c r="N117" s="185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8"/>
        <v>0</v>
      </c>
      <c r="E118" s="324"/>
      <c r="F118" s="324"/>
      <c r="G118" s="324"/>
      <c r="H118" s="323"/>
      <c r="I118" s="324"/>
      <c r="J118" s="196">
        <f t="shared" si="19"/>
        <v>0</v>
      </c>
      <c r="K118" s="196"/>
      <c r="L118" s="196"/>
      <c r="M118" s="196"/>
      <c r="N118" s="196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>
        <f t="shared" si="18"/>
        <v>0</v>
      </c>
      <c r="E119" s="284"/>
      <c r="F119" s="325"/>
      <c r="G119" s="284"/>
      <c r="H119" s="339"/>
      <c r="I119" s="284"/>
      <c r="J119" s="206">
        <f t="shared" si="19"/>
        <v>368.11900000000003</v>
      </c>
      <c r="K119" s="284"/>
      <c r="L119" s="325"/>
      <c r="M119" s="214"/>
      <c r="N119" s="339">
        <v>368.11900000000003</v>
      </c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18"/>
        <v>0</v>
      </c>
      <c r="E120" s="324"/>
      <c r="F120" s="324"/>
      <c r="G120" s="324"/>
      <c r="H120" s="324"/>
      <c r="I120" s="324"/>
      <c r="J120" s="196">
        <f t="shared" si="19"/>
        <v>0</v>
      </c>
      <c r="K120" s="196"/>
      <c r="L120" s="196"/>
      <c r="M120" s="196"/>
      <c r="N120" s="196"/>
      <c r="O120" s="196"/>
    </row>
    <row r="121" spans="1:15" ht="13.5" thickTop="1" thickBot="1">
      <c r="A121" s="862"/>
      <c r="B121" s="207"/>
      <c r="C121" s="208" t="s">
        <v>89</v>
      </c>
      <c r="D121" s="326">
        <f t="shared" si="18"/>
        <v>0</v>
      </c>
      <c r="E121" s="327"/>
      <c r="F121" s="327"/>
      <c r="G121" s="326"/>
      <c r="H121" s="339"/>
      <c r="I121" s="327"/>
      <c r="J121" s="209">
        <f t="shared" si="19"/>
        <v>368.11900000000003</v>
      </c>
      <c r="K121" s="210"/>
      <c r="L121" s="210"/>
      <c r="M121" s="209"/>
      <c r="N121" s="339">
        <v>368.11900000000003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18"/>
        <v>0</v>
      </c>
      <c r="E122" s="327"/>
      <c r="F122" s="327"/>
      <c r="G122" s="327"/>
      <c r="H122" s="339"/>
      <c r="I122" s="326"/>
      <c r="J122" s="209">
        <f t="shared" si="19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18"/>
        <v>0</v>
      </c>
      <c r="E123" s="327"/>
      <c r="F123" s="327"/>
      <c r="G123" s="327"/>
      <c r="H123" s="327"/>
      <c r="I123" s="326"/>
      <c r="J123" s="209">
        <f t="shared" si="19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18"/>
        <v>0</v>
      </c>
      <c r="E124" s="324"/>
      <c r="F124" s="324"/>
      <c r="G124" s="328"/>
      <c r="H124" s="328"/>
      <c r="I124" s="324"/>
      <c r="J124" s="196">
        <f t="shared" si="19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18"/>
        <v>0</v>
      </c>
      <c r="E125" s="380"/>
      <c r="F125" s="331"/>
      <c r="G125" s="326"/>
      <c r="H125" s="326"/>
      <c r="I125" s="324"/>
      <c r="J125" s="213">
        <f t="shared" si="19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18"/>
        <v>0</v>
      </c>
      <c r="E126" s="327"/>
      <c r="F126" s="327"/>
      <c r="G126" s="326"/>
      <c r="H126" s="326"/>
      <c r="I126" s="327"/>
      <c r="J126" s="209">
        <f t="shared" si="19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18"/>
        <v>0</v>
      </c>
      <c r="E127" s="327"/>
      <c r="F127" s="327"/>
      <c r="G127" s="327"/>
      <c r="H127" s="326"/>
      <c r="I127" s="326"/>
      <c r="J127" s="209">
        <f t="shared" si="19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18"/>
        <v>0</v>
      </c>
      <c r="E128" s="327"/>
      <c r="F128" s="327"/>
      <c r="G128" s="327"/>
      <c r="H128" s="327"/>
      <c r="I128" s="326"/>
      <c r="J128" s="209">
        <f t="shared" si="19"/>
        <v>0</v>
      </c>
      <c r="K128" s="210"/>
      <c r="L128" s="210"/>
      <c r="M128" s="210"/>
      <c r="N128" s="210"/>
      <c r="O128" s="209"/>
    </row>
    <row r="129" spans="1:18" ht="13.5" thickTop="1" thickBot="1">
      <c r="A129" s="862"/>
      <c r="B129" s="182" t="s">
        <v>246</v>
      </c>
      <c r="C129" s="182" t="s">
        <v>97</v>
      </c>
      <c r="D129" s="324">
        <f t="shared" si="18"/>
        <v>0</v>
      </c>
      <c r="E129" s="324"/>
      <c r="F129" s="324"/>
      <c r="G129" s="324"/>
      <c r="H129" s="324"/>
      <c r="I129" s="324"/>
      <c r="J129" s="196">
        <f t="shared" si="19"/>
        <v>0</v>
      </c>
      <c r="K129" s="196"/>
      <c r="L129" s="196"/>
      <c r="M129" s="196"/>
      <c r="N129" s="185"/>
      <c r="O129" s="196"/>
    </row>
    <row r="130" spans="1:18" ht="13.5" thickTop="1" thickBot="1">
      <c r="A130" s="862"/>
      <c r="B130" s="182" t="s">
        <v>247</v>
      </c>
      <c r="C130" s="182" t="s">
        <v>99</v>
      </c>
      <c r="D130" s="324">
        <f t="shared" si="18"/>
        <v>0</v>
      </c>
      <c r="E130" s="324"/>
      <c r="F130" s="324"/>
      <c r="G130" s="324"/>
      <c r="H130" s="323"/>
      <c r="I130" s="324"/>
      <c r="J130" s="196">
        <f t="shared" si="19"/>
        <v>0</v>
      </c>
      <c r="K130" s="196"/>
      <c r="L130" s="196"/>
      <c r="M130" s="196"/>
      <c r="N130" s="196"/>
      <c r="O130" s="196"/>
    </row>
    <row r="131" spans="1:18" ht="13.5" thickTop="1" thickBot="1">
      <c r="A131" s="862"/>
      <c r="B131" s="204" t="s">
        <v>250</v>
      </c>
      <c r="C131" s="595" t="s">
        <v>249</v>
      </c>
      <c r="D131" s="325">
        <f t="shared" ref="D131:D142" si="20">SUM(E131:I131)</f>
        <v>0</v>
      </c>
      <c r="E131" s="284"/>
      <c r="F131" s="325"/>
      <c r="G131" s="284"/>
      <c r="H131" s="339"/>
      <c r="I131" s="284"/>
      <c r="J131" s="206">
        <f t="shared" ref="J131:J142" si="21">SUM(K131:O131)</f>
        <v>0</v>
      </c>
      <c r="K131" s="284"/>
      <c r="L131" s="325"/>
      <c r="M131" s="214"/>
      <c r="N131" s="339"/>
      <c r="O131" s="214"/>
    </row>
    <row r="132" spans="1:18" ht="13.5" thickTop="1" thickBot="1">
      <c r="A132" s="862"/>
      <c r="B132" s="182" t="s">
        <v>251</v>
      </c>
      <c r="C132" s="182" t="s">
        <v>88</v>
      </c>
      <c r="D132" s="324">
        <f t="shared" si="20"/>
        <v>0</v>
      </c>
      <c r="E132" s="324"/>
      <c r="F132" s="324"/>
      <c r="G132" s="324"/>
      <c r="H132" s="324"/>
      <c r="I132" s="324"/>
      <c r="J132" s="196">
        <f t="shared" si="21"/>
        <v>0</v>
      </c>
      <c r="K132" s="196"/>
      <c r="L132" s="196"/>
      <c r="M132" s="196"/>
      <c r="N132" s="196"/>
      <c r="O132" s="196"/>
    </row>
    <row r="133" spans="1:18" ht="13.5" thickTop="1" thickBot="1">
      <c r="A133" s="862"/>
      <c r="B133" s="207"/>
      <c r="C133" s="208" t="s">
        <v>89</v>
      </c>
      <c r="D133" s="326">
        <f t="shared" si="20"/>
        <v>0</v>
      </c>
      <c r="E133" s="327"/>
      <c r="F133" s="327"/>
      <c r="G133" s="326"/>
      <c r="H133" s="339"/>
      <c r="I133" s="327"/>
      <c r="J133" s="209">
        <f t="shared" si="21"/>
        <v>0</v>
      </c>
      <c r="K133" s="210"/>
      <c r="L133" s="210"/>
      <c r="M133" s="209"/>
      <c r="N133" s="339"/>
      <c r="O133" s="210"/>
    </row>
    <row r="134" spans="1:18" ht="13.5" thickTop="1" thickBot="1">
      <c r="A134" s="862"/>
      <c r="B134" s="207"/>
      <c r="C134" s="208" t="s">
        <v>90</v>
      </c>
      <c r="D134" s="326">
        <f t="shared" si="20"/>
        <v>0</v>
      </c>
      <c r="E134" s="327"/>
      <c r="F134" s="327"/>
      <c r="G134" s="327"/>
      <c r="H134" s="339"/>
      <c r="I134" s="326"/>
      <c r="J134" s="209">
        <f t="shared" si="21"/>
        <v>0</v>
      </c>
      <c r="K134" s="210"/>
      <c r="L134" s="210"/>
      <c r="M134" s="210"/>
      <c r="N134" s="699"/>
      <c r="O134" s="209"/>
    </row>
    <row r="135" spans="1:18" ht="13.5" thickTop="1" thickBot="1">
      <c r="A135" s="862"/>
      <c r="B135" s="207"/>
      <c r="C135" s="208" t="s">
        <v>91</v>
      </c>
      <c r="D135" s="326">
        <f t="shared" si="20"/>
        <v>0</v>
      </c>
      <c r="E135" s="327"/>
      <c r="F135" s="327"/>
      <c r="G135" s="327"/>
      <c r="H135" s="327"/>
      <c r="I135" s="326"/>
      <c r="J135" s="209">
        <f t="shared" si="21"/>
        <v>0</v>
      </c>
      <c r="K135" s="210"/>
      <c r="L135" s="210"/>
      <c r="M135" s="210"/>
      <c r="N135" s="210"/>
      <c r="O135" s="209"/>
    </row>
    <row r="136" spans="1:18" ht="13.5" thickTop="1" thickBot="1">
      <c r="A136" s="862"/>
      <c r="B136" s="182" t="s">
        <v>252</v>
      </c>
      <c r="C136" s="182" t="s">
        <v>93</v>
      </c>
      <c r="D136" s="324">
        <f t="shared" si="20"/>
        <v>0</v>
      </c>
      <c r="E136" s="324"/>
      <c r="F136" s="324"/>
      <c r="G136" s="328"/>
      <c r="H136" s="328"/>
      <c r="I136" s="324"/>
      <c r="J136" s="196">
        <f t="shared" si="21"/>
        <v>0</v>
      </c>
      <c r="K136" s="196"/>
      <c r="L136" s="196"/>
      <c r="M136" s="211"/>
      <c r="N136" s="211"/>
      <c r="O136" s="196"/>
    </row>
    <row r="137" spans="1:18" ht="13.5" thickTop="1" thickBot="1">
      <c r="A137" s="862"/>
      <c r="B137" s="182" t="s">
        <v>253</v>
      </c>
      <c r="C137" s="182" t="s">
        <v>95</v>
      </c>
      <c r="D137" s="330">
        <f t="shared" si="20"/>
        <v>0</v>
      </c>
      <c r="E137" s="380"/>
      <c r="F137" s="331"/>
      <c r="G137" s="326"/>
      <c r="H137" s="326"/>
      <c r="I137" s="324"/>
      <c r="J137" s="213">
        <f t="shared" si="21"/>
        <v>0</v>
      </c>
      <c r="K137" s="383"/>
      <c r="L137" s="320"/>
      <c r="M137" s="209"/>
      <c r="N137" s="209"/>
      <c r="O137" s="196"/>
    </row>
    <row r="138" spans="1:18" ht="13.5" thickTop="1" thickBot="1">
      <c r="A138" s="862"/>
      <c r="B138" s="207"/>
      <c r="C138" s="208" t="s">
        <v>89</v>
      </c>
      <c r="D138" s="326">
        <f t="shared" si="20"/>
        <v>0</v>
      </c>
      <c r="E138" s="327"/>
      <c r="F138" s="327"/>
      <c r="G138" s="326"/>
      <c r="H138" s="326"/>
      <c r="I138" s="327"/>
      <c r="J138" s="209">
        <f t="shared" si="21"/>
        <v>0</v>
      </c>
      <c r="K138" s="210"/>
      <c r="L138" s="210"/>
      <c r="M138" s="209"/>
      <c r="N138" s="209"/>
      <c r="O138" s="210"/>
    </row>
    <row r="139" spans="1:18" ht="13.5" thickTop="1" thickBot="1">
      <c r="A139" s="862"/>
      <c r="B139" s="207"/>
      <c r="C139" s="208" t="s">
        <v>90</v>
      </c>
      <c r="D139" s="326">
        <f t="shared" si="20"/>
        <v>0</v>
      </c>
      <c r="E139" s="327"/>
      <c r="F139" s="327"/>
      <c r="G139" s="327"/>
      <c r="H139" s="326"/>
      <c r="I139" s="326"/>
      <c r="J139" s="209">
        <f t="shared" si="21"/>
        <v>0</v>
      </c>
      <c r="K139" s="210"/>
      <c r="L139" s="210"/>
      <c r="M139" s="210"/>
      <c r="N139" s="209"/>
      <c r="O139" s="209"/>
    </row>
    <row r="140" spans="1:18" ht="13.5" thickTop="1" thickBot="1">
      <c r="A140" s="862"/>
      <c r="B140" s="207"/>
      <c r="C140" s="208" t="s">
        <v>91</v>
      </c>
      <c r="D140" s="326">
        <f t="shared" si="20"/>
        <v>0</v>
      </c>
      <c r="E140" s="327"/>
      <c r="F140" s="327"/>
      <c r="G140" s="327"/>
      <c r="H140" s="327"/>
      <c r="I140" s="326"/>
      <c r="J140" s="209">
        <f t="shared" si="21"/>
        <v>0</v>
      </c>
      <c r="K140" s="210"/>
      <c r="L140" s="210"/>
      <c r="M140" s="210"/>
      <c r="N140" s="210"/>
      <c r="O140" s="209"/>
    </row>
    <row r="141" spans="1:18" ht="13.5" thickTop="1" thickBot="1">
      <c r="A141" s="862"/>
      <c r="B141" s="182" t="s">
        <v>254</v>
      </c>
      <c r="C141" s="182" t="s">
        <v>97</v>
      </c>
      <c r="D141" s="324">
        <f t="shared" si="20"/>
        <v>0</v>
      </c>
      <c r="E141" s="324"/>
      <c r="F141" s="324"/>
      <c r="G141" s="324"/>
      <c r="H141" s="324"/>
      <c r="I141" s="324"/>
      <c r="J141" s="196">
        <f t="shared" si="21"/>
        <v>0</v>
      </c>
      <c r="K141" s="196"/>
      <c r="L141" s="196"/>
      <c r="M141" s="196"/>
      <c r="N141" s="185"/>
      <c r="O141" s="196"/>
    </row>
    <row r="142" spans="1:18" ht="13.5" thickTop="1" thickBot="1">
      <c r="A142" s="862"/>
      <c r="B142" s="182" t="s">
        <v>255</v>
      </c>
      <c r="C142" s="182" t="s">
        <v>99</v>
      </c>
      <c r="D142" s="324">
        <f t="shared" si="20"/>
        <v>0</v>
      </c>
      <c r="E142" s="324"/>
      <c r="F142" s="324"/>
      <c r="G142" s="324"/>
      <c r="H142" s="323"/>
      <c r="I142" s="324"/>
      <c r="J142" s="196">
        <f t="shared" si="21"/>
        <v>0</v>
      </c>
      <c r="K142" s="196"/>
      <c r="L142" s="196"/>
      <c r="M142" s="196"/>
      <c r="N142" s="196"/>
      <c r="O142" s="196"/>
    </row>
    <row r="143" spans="1:18" ht="12.75" customHeight="1" thickTop="1" thickBot="1">
      <c r="A143" s="862"/>
      <c r="B143" s="257" t="s">
        <v>100</v>
      </c>
      <c r="C143" s="257" t="s">
        <v>101</v>
      </c>
      <c r="D143" s="285">
        <f>SUM(E143:I143)</f>
        <v>262199</v>
      </c>
      <c r="E143" s="386">
        <f>SUM(E144:E147)</f>
        <v>0</v>
      </c>
      <c r="F143" s="386">
        <f>SUM(F144:F147)</f>
        <v>97180</v>
      </c>
      <c r="G143" s="386">
        <f>SUM(G144:G147)</f>
        <v>4061</v>
      </c>
      <c r="H143" s="386">
        <f>SUM(H144:H147)</f>
        <v>66595.8</v>
      </c>
      <c r="I143" s="261">
        <f>SUM(I144:I147)</f>
        <v>94362.2</v>
      </c>
      <c r="J143" s="617">
        <f>SUM(K143:O143)</f>
        <v>270106.01600000006</v>
      </c>
      <c r="K143" s="618">
        <f>SUM(K144:K147)</f>
        <v>0</v>
      </c>
      <c r="L143" s="286">
        <f>SUM(L144:L147)</f>
        <v>67022.467000000004</v>
      </c>
      <c r="M143" s="286">
        <f>SUM(M144:M147)</f>
        <v>2829.645</v>
      </c>
      <c r="N143" s="286">
        <f>SUM(N144:N147)</f>
        <v>76747.141000000003</v>
      </c>
      <c r="O143" s="285">
        <f>SUM(O144:O147)</f>
        <v>123506.76300000001</v>
      </c>
      <c r="P143" s="24"/>
    </row>
    <row r="144" spans="1:18" ht="12.75" customHeight="1" thickTop="1" thickBot="1">
      <c r="A144" s="862"/>
      <c r="B144" s="249" t="s">
        <v>102</v>
      </c>
      <c r="C144" s="250" t="s">
        <v>103</v>
      </c>
      <c r="D144" s="358">
        <f>SUM(E144:I144)</f>
        <v>76355.253559999997</v>
      </c>
      <c r="E144" s="252"/>
      <c r="F144" s="287"/>
      <c r="G144" s="287"/>
      <c r="H144" s="287"/>
      <c r="I144" s="288">
        <v>76355.253559999997</v>
      </c>
      <c r="J144" s="358">
        <f>SUM(K144:O144)</f>
        <v>91700.614000000001</v>
      </c>
      <c r="K144" s="252"/>
      <c r="L144" s="287"/>
      <c r="M144" s="287"/>
      <c r="N144" s="287"/>
      <c r="O144" s="288">
        <v>91700.614000000001</v>
      </c>
      <c r="P144" s="24"/>
      <c r="Q144" s="24"/>
      <c r="R144" s="24"/>
    </row>
    <row r="145" spans="1:19" ht="12.75" customHeight="1" thickTop="1" thickBot="1">
      <c r="A145" s="862"/>
      <c r="B145" s="249" t="s">
        <v>104</v>
      </c>
      <c r="C145" s="250" t="s">
        <v>206</v>
      </c>
      <c r="D145" s="358">
        <f>SUM(E145:I145)</f>
        <v>0</v>
      </c>
      <c r="E145" s="252"/>
      <c r="F145" s="287"/>
      <c r="G145" s="287"/>
      <c r="H145" s="287"/>
      <c r="I145" s="288"/>
      <c r="J145" s="358">
        <f>SUM(K145:O145)</f>
        <v>0</v>
      </c>
      <c r="K145" s="252"/>
      <c r="L145" s="287"/>
      <c r="M145" s="287"/>
      <c r="N145" s="287"/>
      <c r="O145" s="288"/>
      <c r="P145" s="24"/>
      <c r="Q145" s="24"/>
    </row>
    <row r="146" spans="1:19" ht="12.75" customHeight="1" thickTop="1" thickBot="1">
      <c r="A146" s="862"/>
      <c r="B146" s="249" t="s">
        <v>106</v>
      </c>
      <c r="C146" s="250" t="s">
        <v>105</v>
      </c>
      <c r="D146" s="358">
        <f>SUM(E146:I146)</f>
        <v>185843.74643999999</v>
      </c>
      <c r="E146" s="289"/>
      <c r="F146" s="290">
        <v>97180</v>
      </c>
      <c r="G146" s="290">
        <v>4061</v>
      </c>
      <c r="H146" s="290">
        <v>66595.8</v>
      </c>
      <c r="I146" s="290">
        <v>18006.94644</v>
      </c>
      <c r="J146" s="358">
        <f>SUM(K146:O146)</f>
        <v>138115.568</v>
      </c>
      <c r="K146" s="289"/>
      <c r="L146" s="290">
        <v>67022.467000000004</v>
      </c>
      <c r="M146" s="290">
        <v>2728.7649999999999</v>
      </c>
      <c r="N146" s="236">
        <v>47486.203999999998</v>
      </c>
      <c r="O146" s="290">
        <v>20878.132000000005</v>
      </c>
      <c r="P146" s="24"/>
      <c r="R146" s="24"/>
      <c r="S146" s="24"/>
    </row>
    <row r="147" spans="1:19" ht="12.75" customHeight="1" thickTop="1" thickBot="1">
      <c r="A147" s="862"/>
      <c r="B147" s="249" t="s">
        <v>207</v>
      </c>
      <c r="C147" s="250" t="s">
        <v>107</v>
      </c>
      <c r="D147" s="358">
        <f>SUM(E147:I147)</f>
        <v>0</v>
      </c>
      <c r="E147" s="289"/>
      <c r="F147" s="290"/>
      <c r="G147" s="290"/>
      <c r="H147" s="290"/>
      <c r="I147" s="290"/>
      <c r="J147" s="358">
        <f>SUM(K147:O147)</f>
        <v>40289.834000000003</v>
      </c>
      <c r="K147" s="289"/>
      <c r="L147" s="290"/>
      <c r="M147" s="290">
        <v>100.88</v>
      </c>
      <c r="N147" s="290">
        <v>29260.937000000005</v>
      </c>
      <c r="O147" s="290">
        <v>10928.017</v>
      </c>
    </row>
    <row r="148" spans="1:19" ht="12.75" customHeight="1" thickTop="1" thickBot="1">
      <c r="A148" s="862"/>
      <c r="B148" s="249" t="s">
        <v>108</v>
      </c>
      <c r="C148" s="249" t="s">
        <v>169</v>
      </c>
      <c r="D148" s="291">
        <f>D150/1.18/D143</f>
        <v>1.0947590379828358</v>
      </c>
      <c r="E148" s="596">
        <v>0.68012000000000006</v>
      </c>
      <c r="F148" s="596">
        <v>0.68012000000000006</v>
      </c>
      <c r="G148" s="596">
        <v>0.88302999999999998</v>
      </c>
      <c r="H148" s="596">
        <v>1.42133</v>
      </c>
      <c r="I148" s="596">
        <v>2.0129100000000002</v>
      </c>
      <c r="J148" s="291">
        <f>J150/1.18/J143</f>
        <v>1.211236152807496</v>
      </c>
      <c r="K148" s="596">
        <v>0.67740381803612215</v>
      </c>
      <c r="L148" s="596">
        <v>0.67740381803612215</v>
      </c>
      <c r="M148" s="596">
        <v>0.84160196066997806</v>
      </c>
      <c r="N148" s="596">
        <v>1.4129490504408497</v>
      </c>
      <c r="O148" s="596">
        <v>2.0112305362714613</v>
      </c>
      <c r="Q148" s="24"/>
    </row>
    <row r="149" spans="1:19" ht="12.75" customHeight="1" thickTop="1" thickBot="1">
      <c r="A149" s="862"/>
      <c r="B149" s="249" t="s">
        <v>205</v>
      </c>
      <c r="C149" s="249" t="s">
        <v>169</v>
      </c>
      <c r="D149" s="291"/>
      <c r="E149" s="289"/>
      <c r="F149" s="290"/>
      <c r="G149" s="290"/>
      <c r="H149" s="290"/>
      <c r="I149" s="598">
        <v>1.2726900000000001</v>
      </c>
      <c r="J149" s="291"/>
      <c r="K149" s="289"/>
      <c r="L149" s="290"/>
      <c r="M149" s="290"/>
      <c r="N149" s="290"/>
      <c r="O149" s="598">
        <v>1.2726899999818977</v>
      </c>
    </row>
    <row r="150" spans="1:19" ht="12.75" customHeight="1" thickTop="1" thickBot="1">
      <c r="A150" s="862"/>
      <c r="B150" s="249" t="s">
        <v>109</v>
      </c>
      <c r="C150" s="292" t="s">
        <v>110</v>
      </c>
      <c r="D150" s="285">
        <f>SUM(E150:I150)</f>
        <v>338712.77550007263</v>
      </c>
      <c r="E150" s="597">
        <f>E143*E148*1.18</f>
        <v>0</v>
      </c>
      <c r="F150" s="597">
        <f>(F143*F148-F195)*1.18</f>
        <v>65349.817822208846</v>
      </c>
      <c r="G150" s="597">
        <f>G143*G148*1.18</f>
        <v>4231.4620993999997</v>
      </c>
      <c r="H150" s="597">
        <f>H143*H148*1.18</f>
        <v>111692.43792852</v>
      </c>
      <c r="I150" s="597">
        <f>(I148*I146+I147*I148+I149*I144+I149*I145)*1.18</f>
        <v>157439.0576499438</v>
      </c>
      <c r="J150" s="261">
        <f>SUM(K150:O150)</f>
        <v>386051.3625706</v>
      </c>
      <c r="K150" s="261">
        <f>K143*K148*1.18</f>
        <v>0</v>
      </c>
      <c r="L150" s="285">
        <f>(L143*L148-L195)*1.18</f>
        <v>42084.68153300001</v>
      </c>
      <c r="M150" s="261">
        <f>M143*M148*1.18</f>
        <v>2810.0930404000001</v>
      </c>
      <c r="N150" s="261">
        <f>N143*N148*1.18</f>
        <v>127958.96400000001</v>
      </c>
      <c r="O150" s="597">
        <f>(O148*O146+O147*O148+O149*O144+O149*O145)*1.18</f>
        <v>213197.62399720002</v>
      </c>
    </row>
    <row r="151" spans="1:19" ht="12.75" customHeight="1" thickTop="1" thickBot="1">
      <c r="A151" s="863" t="s">
        <v>111</v>
      </c>
      <c r="B151" s="220" t="s">
        <v>112</v>
      </c>
      <c r="C151" s="221" t="s">
        <v>113</v>
      </c>
      <c r="D151" s="379">
        <f>SUM(E151:I151)</f>
        <v>34010</v>
      </c>
      <c r="E151" s="222">
        <f>E44-E34-E46</f>
        <v>0</v>
      </c>
      <c r="F151" s="222">
        <f t="shared" ref="F151:I151" si="22">F44-F34-F46</f>
        <v>5900</v>
      </c>
      <c r="G151" s="222">
        <f t="shared" si="22"/>
        <v>2100</v>
      </c>
      <c r="H151" s="222">
        <f t="shared" si="22"/>
        <v>18100</v>
      </c>
      <c r="I151" s="222">
        <f t="shared" si="22"/>
        <v>7910</v>
      </c>
      <c r="J151" s="685">
        <f>SUM(K151:O151)</f>
        <v>22060.276000000027</v>
      </c>
      <c r="K151" s="222">
        <f>K44-K34-K46</f>
        <v>0</v>
      </c>
      <c r="L151" s="335">
        <f>L44-L34-L46</f>
        <v>5769.9480000000331</v>
      </c>
      <c r="M151" s="335">
        <f>M44-M34-M46</f>
        <v>1822.0889999999913</v>
      </c>
      <c r="N151" s="335">
        <f>N44-N34-N46</f>
        <v>17613.525000000009</v>
      </c>
      <c r="O151" s="335">
        <f>O44-O34-O46</f>
        <v>-3145.2860000000073</v>
      </c>
    </row>
    <row r="152" spans="1:19" ht="12.75" customHeight="1" thickTop="1" thickBot="1">
      <c r="A152" s="863"/>
      <c r="B152" s="234" t="s">
        <v>114</v>
      </c>
      <c r="C152" s="179" t="s">
        <v>115</v>
      </c>
      <c r="D152" s="346">
        <f t="shared" ref="D152:J152" si="23">IF(D44=0,0,D151/D44*100)</f>
        <v>11.417732567898748</v>
      </c>
      <c r="E152" s="346">
        <f t="shared" si="23"/>
        <v>0</v>
      </c>
      <c r="F152" s="346">
        <f t="shared" si="23"/>
        <v>2.6048565121412803</v>
      </c>
      <c r="G152" s="346">
        <f t="shared" si="23"/>
        <v>2.4320192708574604</v>
      </c>
      <c r="H152" s="346">
        <f t="shared" si="23"/>
        <v>8.8943488943488944</v>
      </c>
      <c r="I152" s="346">
        <f t="shared" si="23"/>
        <v>7.6825951825951826</v>
      </c>
      <c r="J152" s="346">
        <f t="shared" si="23"/>
        <v>7.4386241355738267</v>
      </c>
      <c r="K152" s="346">
        <f>IF(K44=0,0,K151/K44*100)</f>
        <v>0</v>
      </c>
      <c r="L152" s="346">
        <f t="shared" ref="L152:O152" si="24">IF(L44=0,0,L151/L44*100)</f>
        <v>2.458905344540312</v>
      </c>
      <c r="M152" s="346">
        <f t="shared" si="24"/>
        <v>2.3440620693784187</v>
      </c>
      <c r="N152" s="346">
        <f t="shared" si="24"/>
        <v>8.2308125060489186</v>
      </c>
      <c r="O152" s="346">
        <f t="shared" si="24"/>
        <v>-2.6017108187993432</v>
      </c>
      <c r="Q152" s="580"/>
    </row>
    <row r="153" spans="1:19" ht="12.75" customHeight="1" thickTop="1" thickBot="1">
      <c r="A153" s="863"/>
      <c r="B153" s="234" t="s">
        <v>116</v>
      </c>
      <c r="C153" s="179" t="s">
        <v>117</v>
      </c>
      <c r="D153" s="346">
        <f t="shared" ref="D153:J153" si="25">IF(D45=0,0,D151/D45*100)</f>
        <v>11.417732567898748</v>
      </c>
      <c r="E153" s="346">
        <f t="shared" si="25"/>
        <v>0</v>
      </c>
      <c r="F153" s="346">
        <f t="shared" si="25"/>
        <v>2.6048565121412803</v>
      </c>
      <c r="G153" s="346">
        <f t="shared" si="25"/>
        <v>2.472362518984212</v>
      </c>
      <c r="H153" s="346">
        <f t="shared" si="25"/>
        <v>9.6453187165011691</v>
      </c>
      <c r="I153" s="346">
        <f t="shared" si="25"/>
        <v>7.7342620966401432</v>
      </c>
      <c r="J153" s="346">
        <f t="shared" si="25"/>
        <v>7.4386241355738267</v>
      </c>
      <c r="K153" s="346">
        <f>IF(K45=0,0,K151/K45*100)</f>
        <v>0</v>
      </c>
      <c r="L153" s="346">
        <f t="shared" ref="L153:O153" si="26">IF(L45=0,0,L151/L45*100)</f>
        <v>2.458905344540312</v>
      </c>
      <c r="M153" s="346">
        <f t="shared" si="26"/>
        <v>2.3440620693784187</v>
      </c>
      <c r="N153" s="346">
        <f t="shared" si="26"/>
        <v>8.1827466116213579</v>
      </c>
      <c r="O153" s="346">
        <f t="shared" si="26"/>
        <v>-2.6131999028227342</v>
      </c>
      <c r="P153" s="24"/>
      <c r="Q153" s="580"/>
    </row>
    <row r="154" spans="1:19" ht="12.75" customHeight="1" thickTop="1" thickBot="1">
      <c r="A154" s="863"/>
      <c r="B154" s="224" t="s">
        <v>118</v>
      </c>
      <c r="C154" s="225" t="s">
        <v>209</v>
      </c>
      <c r="D154" s="451">
        <f>SUM(E154:I154)</f>
        <v>3313.1110062829475</v>
      </c>
      <c r="E154" s="442"/>
      <c r="F154" s="290">
        <f>2807.72119176521*1.18</f>
        <v>3313.1110062829475</v>
      </c>
      <c r="G154" s="442"/>
      <c r="H154" s="442"/>
      <c r="I154" s="442"/>
      <c r="J154" s="442">
        <f>SUM(K154:O154)</f>
        <v>3071.6787444000001</v>
      </c>
      <c r="K154" s="442">
        <v>0</v>
      </c>
      <c r="L154" s="452">
        <f>2603.11758*1.18</f>
        <v>3071.6787444000001</v>
      </c>
      <c r="M154" s="442">
        <v>0</v>
      </c>
      <c r="N154" s="442">
        <v>0</v>
      </c>
      <c r="O154" s="442">
        <v>0</v>
      </c>
      <c r="P154" s="81"/>
      <c r="Q154" s="580"/>
    </row>
    <row r="155" spans="1:19" ht="12.75" customHeight="1" thickTop="1" thickBot="1">
      <c r="A155" s="863"/>
      <c r="B155" s="227" t="s">
        <v>120</v>
      </c>
      <c r="C155" s="186" t="s">
        <v>121</v>
      </c>
      <c r="D155" s="443">
        <f>SUM(E155:I155)</f>
        <v>34010</v>
      </c>
      <c r="E155" s="448">
        <f>E151</f>
        <v>0</v>
      </c>
      <c r="F155" s="448">
        <f>F151</f>
        <v>5900</v>
      </c>
      <c r="G155" s="448">
        <f>G151</f>
        <v>2100</v>
      </c>
      <c r="H155" s="448">
        <f>H151</f>
        <v>18100</v>
      </c>
      <c r="I155" s="448">
        <f>I151</f>
        <v>7910</v>
      </c>
      <c r="J155" s="448">
        <f>SUM(K155:O155)</f>
        <v>22060.276000000027</v>
      </c>
      <c r="K155" s="448">
        <f>K151</f>
        <v>0</v>
      </c>
      <c r="L155" s="448">
        <f>L151</f>
        <v>5769.9480000000331</v>
      </c>
      <c r="M155" s="448">
        <f>M151</f>
        <v>1822.0889999999913</v>
      </c>
      <c r="N155" s="448">
        <f>N151</f>
        <v>17613.525000000009</v>
      </c>
      <c r="O155" s="448">
        <f>O151</f>
        <v>-3145.2860000000073</v>
      </c>
    </row>
    <row r="156" spans="1:19" ht="12.75" customHeight="1" thickTop="1" thickBot="1">
      <c r="A156" s="863"/>
      <c r="B156" s="227" t="s">
        <v>122</v>
      </c>
      <c r="C156" s="186" t="s">
        <v>167</v>
      </c>
      <c r="D156" s="455">
        <f>D157/1.18/D155</f>
        <v>1.5790872134464577</v>
      </c>
      <c r="E156" s="341">
        <v>1.5790872134464575</v>
      </c>
      <c r="F156" s="341">
        <v>1.5790872134464575</v>
      </c>
      <c r="G156" s="341">
        <v>1.5790872134464575</v>
      </c>
      <c r="H156" s="341">
        <v>1.5790872134464575</v>
      </c>
      <c r="I156" s="341">
        <v>1.5790872134464575</v>
      </c>
      <c r="J156" s="444">
        <f>J157/1.18/J155</f>
        <v>1.4377545185744725</v>
      </c>
      <c r="K156" s="341">
        <v>1.4377545185744729</v>
      </c>
      <c r="L156" s="341">
        <v>1.4377545185744729</v>
      </c>
      <c r="M156" s="341">
        <v>1.4377545185744729</v>
      </c>
      <c r="N156" s="341">
        <v>1.4377545185744729</v>
      </c>
      <c r="O156" s="341">
        <v>1.4377545185744729</v>
      </c>
      <c r="P156" s="318"/>
    </row>
    <row r="157" spans="1:19" ht="12.75" customHeight="1" thickTop="1" thickBot="1">
      <c r="A157" s="863"/>
      <c r="B157" s="227" t="s">
        <v>124</v>
      </c>
      <c r="C157" s="186" t="s">
        <v>168</v>
      </c>
      <c r="D157" s="443">
        <f>SUM(E157:I157)</f>
        <v>63371.612232590545</v>
      </c>
      <c r="E157" s="443">
        <f>E155*E156*1.18</f>
        <v>0</v>
      </c>
      <c r="F157" s="443">
        <f>F155*F156*1.18</f>
        <v>10993.605180014236</v>
      </c>
      <c r="G157" s="443">
        <f>G155*G156*1.18</f>
        <v>3912.9781149203213</v>
      </c>
      <c r="H157" s="443">
        <f>H155*H156*1.18</f>
        <v>33726.14470478944</v>
      </c>
      <c r="I157" s="443">
        <f>I155*I156*1.18</f>
        <v>14738.884232866545</v>
      </c>
      <c r="J157" s="448">
        <f>SUM(K157:O157)</f>
        <v>37426.368570000035</v>
      </c>
      <c r="K157" s="448">
        <f>K155*K156*1.18</f>
        <v>0</v>
      </c>
      <c r="L157" s="448">
        <f>L155*L156*1.18</f>
        <v>9789.0071945489526</v>
      </c>
      <c r="M157" s="448">
        <f>M155*M156*1.18</f>
        <v>3091.2656977338997</v>
      </c>
      <c r="N157" s="448">
        <f>N155*N156*1.18</f>
        <v>29882.231684993854</v>
      </c>
      <c r="O157" s="448">
        <f>O155*O156*1.18</f>
        <v>-5336.1360072766674</v>
      </c>
      <c r="P157" s="318"/>
    </row>
    <row r="158" spans="1:19" ht="12.75" customHeight="1" thickTop="1" thickBot="1">
      <c r="A158" s="863"/>
      <c r="B158" s="229" t="s">
        <v>126</v>
      </c>
      <c r="C158" s="225" t="s">
        <v>127</v>
      </c>
      <c r="D158" s="445">
        <f>SUM(E158:I158)</f>
        <v>30510</v>
      </c>
      <c r="E158" s="451">
        <f>E160*E45</f>
        <v>0</v>
      </c>
      <c r="F158" s="451">
        <f>F160*F45/100</f>
        <v>5900</v>
      </c>
      <c r="G158" s="451">
        <f>G160*G45/100</f>
        <v>2099.9999999999995</v>
      </c>
      <c r="H158" s="451">
        <f>H160*H45/100</f>
        <v>18100</v>
      </c>
      <c r="I158" s="451">
        <f>I160*I45/100</f>
        <v>4410</v>
      </c>
      <c r="J158" s="470">
        <f>SUM(K158:O158)</f>
        <v>30368.146000000026</v>
      </c>
      <c r="K158" s="453">
        <v>0</v>
      </c>
      <c r="L158" s="453">
        <v>5769.9480000000331</v>
      </c>
      <c r="M158" s="453">
        <v>1822.0890000000145</v>
      </c>
      <c r="N158" s="453">
        <v>17613.52499999998</v>
      </c>
      <c r="O158" s="453">
        <v>5162.5839999999998</v>
      </c>
    </row>
    <row r="159" spans="1:19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27">IF(D44=0,0,D158/D44*100)</f>
        <v>10.242723335683351</v>
      </c>
      <c r="E159" s="345">
        <f t="shared" si="27"/>
        <v>0</v>
      </c>
      <c r="F159" s="345">
        <f t="shared" si="27"/>
        <v>2.6048565121412803</v>
      </c>
      <c r="G159" s="345">
        <f t="shared" si="27"/>
        <v>2.4320192708574599</v>
      </c>
      <c r="H159" s="345">
        <f t="shared" si="27"/>
        <v>8.8943488943488944</v>
      </c>
      <c r="I159" s="345">
        <f t="shared" si="27"/>
        <v>4.2832167832167833</v>
      </c>
      <c r="J159" s="345">
        <f t="shared" si="27"/>
        <v>10.239999888860396</v>
      </c>
      <c r="K159" s="345">
        <f>IF(K44=0,0,K158/K44*100)</f>
        <v>0</v>
      </c>
      <c r="L159" s="345">
        <f t="shared" si="27"/>
        <v>2.458905344540312</v>
      </c>
      <c r="M159" s="345">
        <f t="shared" si="27"/>
        <v>2.3440620693784484</v>
      </c>
      <c r="N159" s="345">
        <f t="shared" si="27"/>
        <v>8.2308125060489061</v>
      </c>
      <c r="O159" s="345">
        <f t="shared" si="27"/>
        <v>4.2703749820399022</v>
      </c>
      <c r="P159" s="25"/>
      <c r="Q159" s="25"/>
      <c r="R159" s="25"/>
      <c r="S159" s="25"/>
    </row>
    <row r="160" spans="1:19" ht="12.75" customHeight="1" thickTop="1" thickBot="1">
      <c r="A160" s="863"/>
      <c r="B160" s="230" t="s">
        <v>130</v>
      </c>
      <c r="C160" s="225" t="s">
        <v>131</v>
      </c>
      <c r="D160" s="345">
        <f>IF(D45=0,0,D158/D45*100)</f>
        <v>10.242723335683351</v>
      </c>
      <c r="E160" s="317">
        <v>0</v>
      </c>
      <c r="F160" s="454">
        <v>2.6048565121412803</v>
      </c>
      <c r="G160" s="454">
        <v>2.472362518984212</v>
      </c>
      <c r="H160" s="454">
        <v>9.6453187165011691</v>
      </c>
      <c r="I160" s="454">
        <v>4.3120222308701681</v>
      </c>
      <c r="J160" s="345">
        <f>IF(J45=0,0,J158/J45*100)</f>
        <v>10.239999888860396</v>
      </c>
      <c r="K160" s="345">
        <f>IF(K45=0,0,K158/K45*100)</f>
        <v>0</v>
      </c>
      <c r="L160" s="345">
        <f t="shared" ref="L160:O160" si="28">IF(L45=0,0,L158/L45*100)</f>
        <v>2.458905344540312</v>
      </c>
      <c r="M160" s="345">
        <f t="shared" si="28"/>
        <v>2.3440620693784484</v>
      </c>
      <c r="N160" s="345">
        <f t="shared" si="28"/>
        <v>8.1827466116213436</v>
      </c>
      <c r="O160" s="345">
        <f t="shared" si="28"/>
        <v>4.2892328415012715</v>
      </c>
      <c r="P160" s="25"/>
      <c r="Q160" s="25"/>
      <c r="R160" s="25"/>
      <c r="S160" s="25"/>
    </row>
    <row r="161" spans="1:16" ht="12.75" customHeight="1" thickTop="1" thickBot="1">
      <c r="A161" s="863"/>
      <c r="B161" s="231" t="s">
        <v>132</v>
      </c>
      <c r="C161" s="186" t="s">
        <v>133</v>
      </c>
      <c r="D161" s="443">
        <f>SUM(E161:I161)</f>
        <v>3500</v>
      </c>
      <c r="E161" s="251">
        <f>E151-E158</f>
        <v>0</v>
      </c>
      <c r="F161" s="448">
        <f>F151-F158</f>
        <v>0</v>
      </c>
      <c r="G161" s="448">
        <f>G151-G158</f>
        <v>0</v>
      </c>
      <c r="H161" s="448">
        <f>H151-H158</f>
        <v>0</v>
      </c>
      <c r="I161" s="448">
        <f>I151-I158</f>
        <v>3500</v>
      </c>
      <c r="J161" s="471">
        <f>SUM(K161:O161)</f>
        <v>-8307.8700000000008</v>
      </c>
      <c r="K161" s="448">
        <f>K151-K158</f>
        <v>0</v>
      </c>
      <c r="L161" s="448">
        <f>L151-L158</f>
        <v>0</v>
      </c>
      <c r="M161" s="448">
        <f>M151-M158</f>
        <v>-2.319211489520967E-11</v>
      </c>
      <c r="N161" s="448">
        <f>N151-N158</f>
        <v>2.9103830456733704E-11</v>
      </c>
      <c r="O161" s="448">
        <f>O151-O158</f>
        <v>-8307.8700000000063</v>
      </c>
    </row>
    <row r="162" spans="1:16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1.175009232215396</v>
      </c>
      <c r="E162" s="347">
        <f t="shared" ref="E162:I162" si="29">IF(E44=0,0,E161/E44*100)</f>
        <v>0</v>
      </c>
      <c r="F162" s="347">
        <f t="shared" si="29"/>
        <v>0</v>
      </c>
      <c r="G162" s="347">
        <f t="shared" si="29"/>
        <v>0</v>
      </c>
      <c r="H162" s="347">
        <f t="shared" si="29"/>
        <v>0</v>
      </c>
      <c r="I162" s="347">
        <f t="shared" si="29"/>
        <v>3.3993783993783993</v>
      </c>
      <c r="J162" s="347">
        <f>IF(J44=0,0,J161/J44*100)</f>
        <v>-2.8013757532865706</v>
      </c>
      <c r="K162" s="347">
        <f>IF(K44=0,0,K161/K44*100)</f>
        <v>0</v>
      </c>
      <c r="L162" s="347">
        <f t="shared" ref="L162:O162" si="30">IF(L44=0,0,L161/L44*100)</f>
        <v>0</v>
      </c>
      <c r="M162" s="347">
        <f t="shared" si="30"/>
        <v>-2.983595029360667E-14</v>
      </c>
      <c r="N162" s="347">
        <f t="shared" si="30"/>
        <v>1.3600240252715519E-14</v>
      </c>
      <c r="O162" s="347">
        <f t="shared" si="30"/>
        <v>-6.8720858008392449</v>
      </c>
    </row>
    <row r="163" spans="1:16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1.175009232215396</v>
      </c>
      <c r="E163" s="347">
        <f t="shared" ref="E163:O163" si="31">IF(E45=0,0,E161/E45*100)</f>
        <v>0</v>
      </c>
      <c r="F163" s="347">
        <f t="shared" si="31"/>
        <v>0</v>
      </c>
      <c r="G163" s="347">
        <f t="shared" si="31"/>
        <v>0</v>
      </c>
      <c r="H163" s="347">
        <f t="shared" si="31"/>
        <v>0</v>
      </c>
      <c r="I163" s="347">
        <f t="shared" si="31"/>
        <v>3.4222398657699751</v>
      </c>
      <c r="J163" s="347">
        <f t="shared" si="31"/>
        <v>-2.8013757532865706</v>
      </c>
      <c r="K163" s="347">
        <f t="shared" si="31"/>
        <v>0</v>
      </c>
      <c r="L163" s="347">
        <f t="shared" si="31"/>
        <v>0</v>
      </c>
      <c r="M163" s="347">
        <f t="shared" si="31"/>
        <v>-2.983595029360667E-14</v>
      </c>
      <c r="N163" s="347">
        <f t="shared" si="31"/>
        <v>1.352081823797565E-14</v>
      </c>
      <c r="O163" s="347">
        <f t="shared" si="31"/>
        <v>-6.9024327443240052</v>
      </c>
    </row>
    <row r="164" spans="1:16">
      <c r="A164" s="94" t="s">
        <v>210</v>
      </c>
      <c r="D164" s="95"/>
      <c r="E164" s="95"/>
      <c r="F164" s="601"/>
      <c r="G164" s="601"/>
      <c r="H164" s="601"/>
      <c r="I164" s="601"/>
      <c r="J164" s="348"/>
      <c r="K164" s="348"/>
      <c r="L164" s="348"/>
      <c r="M164" s="348"/>
      <c r="N164" s="348"/>
      <c r="O164" s="348"/>
    </row>
    <row r="165" spans="1:16" ht="12.75" thickBot="1">
      <c r="D165" s="95"/>
      <c r="E165" s="93"/>
      <c r="F165" s="342"/>
      <c r="G165" s="342"/>
      <c r="H165" s="342"/>
      <c r="I165" s="342"/>
      <c r="J165" s="348"/>
      <c r="K165" s="348"/>
      <c r="L165" s="342"/>
      <c r="M165" s="342"/>
      <c r="N165" s="342"/>
      <c r="O165" s="342"/>
    </row>
    <row r="166" spans="1:16" ht="12.75" customHeight="1" thickBot="1">
      <c r="B166" s="854" t="s">
        <v>138</v>
      </c>
      <c r="C166" s="855" t="s">
        <v>139</v>
      </c>
      <c r="D166" s="842" t="s">
        <v>140</v>
      </c>
      <c r="E166" s="843"/>
      <c r="F166" s="843"/>
      <c r="G166" s="843"/>
      <c r="H166" s="843"/>
      <c r="I166" s="844"/>
      <c r="J166" s="842" t="s">
        <v>140</v>
      </c>
      <c r="K166" s="843"/>
      <c r="L166" s="843"/>
      <c r="M166" s="843"/>
      <c r="N166" s="843"/>
      <c r="O166" s="844"/>
    </row>
    <row r="167" spans="1:16">
      <c r="B167" s="854"/>
      <c r="C167" s="855"/>
      <c r="D167" s="96" t="s">
        <v>141</v>
      </c>
      <c r="E167" s="97"/>
      <c r="F167" s="97" t="s">
        <v>5</v>
      </c>
      <c r="G167" s="98" t="s">
        <v>74</v>
      </c>
      <c r="H167" s="98" t="s">
        <v>76</v>
      </c>
      <c r="I167" s="99" t="s">
        <v>8</v>
      </c>
      <c r="J167" s="96" t="s">
        <v>141</v>
      </c>
      <c r="K167" s="97"/>
      <c r="L167" s="97" t="s">
        <v>5</v>
      </c>
      <c r="M167" s="98" t="s">
        <v>74</v>
      </c>
      <c r="N167" s="98" t="s">
        <v>76</v>
      </c>
      <c r="O167" s="99" t="s">
        <v>8</v>
      </c>
    </row>
    <row r="168" spans="1:16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6" ht="12.75">
      <c r="B169" s="32" t="s">
        <v>10</v>
      </c>
      <c r="C169" s="33" t="s">
        <v>142</v>
      </c>
      <c r="D169" s="34">
        <f>D174+D175+D176</f>
        <v>297870</v>
      </c>
      <c r="E169" s="35"/>
      <c r="F169" s="36">
        <f>F170+F174+F175+F176</f>
        <v>226500</v>
      </c>
      <c r="G169" s="36">
        <f>G170+G174+G175+G176</f>
        <v>85088</v>
      </c>
      <c r="H169" s="36">
        <f>H170+H174+H175+H176</f>
        <v>188480</v>
      </c>
      <c r="I169" s="37">
        <f>I170+I174+I175+I176</f>
        <v>102960</v>
      </c>
      <c r="J169" s="34">
        <f>J174+J175+J176</f>
        <v>296563.929</v>
      </c>
      <c r="K169" s="35"/>
      <c r="L169" s="36">
        <f>L170+L174+L175+L176</f>
        <v>234655.14900000003</v>
      </c>
      <c r="M169" s="36">
        <f>M170+M174+M175+M176</f>
        <v>77732.114000000001</v>
      </c>
      <c r="N169" s="36">
        <f>N170+N174+N175+N176</f>
        <v>219118.11500000002</v>
      </c>
      <c r="O169" s="37">
        <f>O170+O174+O175+O176</f>
        <v>120892.98999999998</v>
      </c>
    </row>
    <row r="170" spans="1:16" ht="12.75">
      <c r="B170" s="38" t="s">
        <v>12</v>
      </c>
      <c r="C170" s="39" t="s">
        <v>143</v>
      </c>
      <c r="D170" s="675">
        <f t="shared" ref="D170:D177" si="32">SUM(F170:I170)</f>
        <v>305158</v>
      </c>
      <c r="E170" s="676"/>
      <c r="F170" s="676"/>
      <c r="G170" s="677">
        <f>SUM(G171:G173)</f>
        <v>39648</v>
      </c>
      <c r="H170" s="677">
        <f>SUM(H171:H173)</f>
        <v>162550</v>
      </c>
      <c r="I170" s="678">
        <f>SUM(I171:I173)</f>
        <v>102960</v>
      </c>
      <c r="J170" s="675">
        <f t="shared" ref="J170:J177" si="33">SUM(L170:O170)</f>
        <v>355834.43900000001</v>
      </c>
      <c r="K170" s="676"/>
      <c r="L170" s="676"/>
      <c r="M170" s="677">
        <f>SUM(M171:M173)</f>
        <v>40146.25</v>
      </c>
      <c r="N170" s="677">
        <f>SUM(N171:N173)</f>
        <v>194796.864</v>
      </c>
      <c r="O170" s="678">
        <f>SUM(O171:O173)</f>
        <v>120891.32499999998</v>
      </c>
    </row>
    <row r="171" spans="1:16" ht="12.75">
      <c r="B171" s="40" t="s">
        <v>144</v>
      </c>
      <c r="C171" s="41" t="s">
        <v>145</v>
      </c>
      <c r="D171" s="42">
        <f t="shared" si="32"/>
        <v>123420</v>
      </c>
      <c r="E171" s="43"/>
      <c r="F171" s="44"/>
      <c r="G171" s="45">
        <f>G31-G49-G61-G73-G85-G97-G78-G109-G121-G54-G66-G90-G102-G114-G126</f>
        <v>39648</v>
      </c>
      <c r="H171" s="45">
        <f>H31-H49-H61-H73-H85-H97-H78-H54-H109-H66-H90-H102-H114-H121-H126</f>
        <v>83772</v>
      </c>
      <c r="I171" s="46"/>
      <c r="J171" s="42">
        <f t="shared" si="33"/>
        <v>161862.734</v>
      </c>
      <c r="K171" s="43"/>
      <c r="L171" s="44"/>
      <c r="M171" s="45">
        <f>M31-M49-M61-M73-M85-M97-M78-M109-M121-M54-M66-M90-M102-M114-M126</f>
        <v>40146.25</v>
      </c>
      <c r="N171" s="45">
        <f>N31-N49-N61-N73-N85-N97-N78-N54-N109-N66-N90-N102-N114-N121-N126</f>
        <v>121716.484</v>
      </c>
      <c r="O171" s="46"/>
    </row>
    <row r="172" spans="1:16" ht="12.75">
      <c r="B172" s="47" t="s">
        <v>146</v>
      </c>
      <c r="C172" s="48" t="s">
        <v>6</v>
      </c>
      <c r="D172" s="42">
        <f t="shared" si="32"/>
        <v>78778</v>
      </c>
      <c r="E172" s="43"/>
      <c r="F172" s="44"/>
      <c r="G172" s="49"/>
      <c r="H172" s="45">
        <f>H32-H50-H62-H74-H86-H98-H110-H55-H67-H79-H91-H103-H115-H122-H127</f>
        <v>78778</v>
      </c>
      <c r="I172" s="50">
        <f>I32-I50-I55-I62-I67-I74-I79-I86-I91-I98-I103-I110-I115-I122-I127</f>
        <v>0</v>
      </c>
      <c r="J172" s="42">
        <f t="shared" si="33"/>
        <v>73080.38</v>
      </c>
      <c r="K172" s="43"/>
      <c r="L172" s="44"/>
      <c r="M172" s="49"/>
      <c r="N172" s="45">
        <f>N32-N50-N62-N74-N86-N98-N110-N55-N67-N79-N91-N103-N115-N122-N127</f>
        <v>73080.38</v>
      </c>
      <c r="O172" s="50">
        <f>O32-O50-O55-O62-O67-O74-O79-O86-O91-O98-O103-O110-O115-O122-O127</f>
        <v>0</v>
      </c>
      <c r="P172" s="318"/>
    </row>
    <row r="173" spans="1:16" ht="12.75">
      <c r="B173" s="51" t="s">
        <v>147</v>
      </c>
      <c r="C173" s="52" t="s">
        <v>7</v>
      </c>
      <c r="D173" s="53">
        <f t="shared" si="32"/>
        <v>102960</v>
      </c>
      <c r="E173" s="54"/>
      <c r="F173" s="55"/>
      <c r="G173" s="56"/>
      <c r="H173" s="56"/>
      <c r="I173" s="57">
        <f>I33-I51-I87-I75-I99-I111-I56-I63-I68-I80-I92-I104-I116-I123-I128</f>
        <v>102960</v>
      </c>
      <c r="J173" s="53">
        <f t="shared" si="33"/>
        <v>120891.32499999998</v>
      </c>
      <c r="K173" s="54"/>
      <c r="L173" s="55"/>
      <c r="M173" s="56"/>
      <c r="N173" s="56"/>
      <c r="O173" s="57">
        <f>O33-O51-O87-O75-O99-O111-O56-O63-O68-O80-O92-O104-O116-O123-O128</f>
        <v>120891.32499999998</v>
      </c>
    </row>
    <row r="174" spans="1:16" ht="12.75">
      <c r="B174" s="58" t="s">
        <v>14</v>
      </c>
      <c r="C174" s="39" t="s">
        <v>148</v>
      </c>
      <c r="D174" s="110">
        <f t="shared" si="32"/>
        <v>162050</v>
      </c>
      <c r="E174" s="111"/>
      <c r="F174" s="111">
        <f>F28+E28</f>
        <v>125780</v>
      </c>
      <c r="G174" s="112">
        <f>G28</f>
        <v>33350</v>
      </c>
      <c r="H174" s="112">
        <f>H28</f>
        <v>2920</v>
      </c>
      <c r="I174" s="113">
        <f>I28</f>
        <v>0</v>
      </c>
      <c r="J174" s="110">
        <f t="shared" si="33"/>
        <v>220621.80600000001</v>
      </c>
      <c r="K174" s="111"/>
      <c r="L174" s="111">
        <f>L28+K28</f>
        <v>192230.69500000001</v>
      </c>
      <c r="M174" s="112">
        <f>M28</f>
        <v>25530.275000000001</v>
      </c>
      <c r="N174" s="112">
        <f>N28</f>
        <v>2860.8359999999998</v>
      </c>
      <c r="O174" s="113">
        <f>O28</f>
        <v>0</v>
      </c>
    </row>
    <row r="175" spans="1:16" ht="12.75">
      <c r="B175" s="59" t="s">
        <v>16</v>
      </c>
      <c r="C175" s="60" t="s">
        <v>149</v>
      </c>
      <c r="D175" s="123">
        <f t="shared" si="32"/>
        <v>135620</v>
      </c>
      <c r="E175" s="124"/>
      <c r="F175" s="125">
        <f>F23+F24+F25+E23+E24+E25</f>
        <v>100720</v>
      </c>
      <c r="G175" s="125">
        <f>G23+G24+G25</f>
        <v>11890</v>
      </c>
      <c r="H175" s="125">
        <f>H23+H24+H25</f>
        <v>23010</v>
      </c>
      <c r="I175" s="126">
        <f>I23+I24+I25</f>
        <v>0</v>
      </c>
      <c r="J175" s="123">
        <f t="shared" si="33"/>
        <v>75942.123000000007</v>
      </c>
      <c r="K175" s="124"/>
      <c r="L175" s="125">
        <f>L23+L24+L25+K23+K24+K25</f>
        <v>42424.454000000012</v>
      </c>
      <c r="M175" s="125">
        <f>M23+M24+M25</f>
        <v>12055.589</v>
      </c>
      <c r="N175" s="125">
        <f>N23+N24+N25</f>
        <v>21460.415000000001</v>
      </c>
      <c r="O175" s="126">
        <f>O23+O24+O25</f>
        <v>1.665</v>
      </c>
    </row>
    <row r="176" spans="1:16" ht="13.5" thickBot="1">
      <c r="B176" s="61" t="s">
        <v>20</v>
      </c>
      <c r="C176" s="62" t="s">
        <v>150</v>
      </c>
      <c r="D176" s="129">
        <f t="shared" si="32"/>
        <v>200</v>
      </c>
      <c r="E176" s="130"/>
      <c r="F176" s="131">
        <f>F29+E29</f>
        <v>0</v>
      </c>
      <c r="G176" s="131">
        <f>G29</f>
        <v>200</v>
      </c>
      <c r="H176" s="131">
        <f>H29</f>
        <v>0</v>
      </c>
      <c r="I176" s="132">
        <f>I29</f>
        <v>0</v>
      </c>
      <c r="J176" s="129">
        <f t="shared" si="33"/>
        <v>0</v>
      </c>
      <c r="K176" s="130"/>
      <c r="L176" s="131">
        <f>L29+K29</f>
        <v>0</v>
      </c>
      <c r="M176" s="131">
        <f>M29</f>
        <v>0</v>
      </c>
      <c r="N176" s="131">
        <f>N29</f>
        <v>0</v>
      </c>
      <c r="O176" s="132">
        <f>O29</f>
        <v>0</v>
      </c>
    </row>
    <row r="177" spans="1:16" ht="12.75">
      <c r="B177" s="63" t="s">
        <v>26</v>
      </c>
      <c r="C177" s="33" t="s">
        <v>151</v>
      </c>
      <c r="D177" s="135">
        <f t="shared" si="32"/>
        <v>34010</v>
      </c>
      <c r="E177" s="136"/>
      <c r="F177" s="136">
        <f>F169-F180-G171-H171</f>
        <v>5900</v>
      </c>
      <c r="G177" s="136">
        <f>G169-G180-H172-I172</f>
        <v>2100</v>
      </c>
      <c r="H177" s="136">
        <f>H169-H180-I173</f>
        <v>18100</v>
      </c>
      <c r="I177" s="137">
        <f>I169-I180</f>
        <v>7910</v>
      </c>
      <c r="J177" s="716">
        <f t="shared" si="33"/>
        <v>22060.276000000042</v>
      </c>
      <c r="K177" s="136"/>
      <c r="L177" s="714">
        <f>L169-L180-M171-N171</f>
        <v>5769.9480000000331</v>
      </c>
      <c r="M177" s="714">
        <f>M169-M180-N172-O172</f>
        <v>1822.0889999999927</v>
      </c>
      <c r="N177" s="714">
        <f>N169-N180-O173</f>
        <v>17613.525000000052</v>
      </c>
      <c r="O177" s="715">
        <f>O169-O180</f>
        <v>-3145.2860000000364</v>
      </c>
      <c r="P177" s="318"/>
    </row>
    <row r="178" spans="1:16" ht="13.5" thickBot="1">
      <c r="B178" s="64"/>
      <c r="C178" s="65" t="s">
        <v>152</v>
      </c>
      <c r="D178" s="441">
        <f>IF(D169=0,0,D177/D169*100)</f>
        <v>11.417732567898748</v>
      </c>
      <c r="E178" s="140"/>
      <c r="F178" s="441">
        <f t="shared" ref="F178:I178" si="34">IF(F169=0,0,F177/F169*100)</f>
        <v>2.6048565121412803</v>
      </c>
      <c r="G178" s="441">
        <f t="shared" si="34"/>
        <v>2.4680330951485518</v>
      </c>
      <c r="H178" s="441">
        <f t="shared" si="34"/>
        <v>9.6031409168081492</v>
      </c>
      <c r="I178" s="441">
        <f t="shared" si="34"/>
        <v>7.6825951825951826</v>
      </c>
      <c r="J178" s="441">
        <f>IF(J169=0,0,J177/J169*100)</f>
        <v>7.4386241355738321</v>
      </c>
      <c r="K178" s="140"/>
      <c r="L178" s="441">
        <f t="shared" ref="L178:O178" si="35">IF(L169=0,0,L177/L169*100)</f>
        <v>2.458905344540312</v>
      </c>
      <c r="M178" s="441">
        <f t="shared" si="35"/>
        <v>2.3440620693784204</v>
      </c>
      <c r="N178" s="441">
        <f t="shared" si="35"/>
        <v>8.0383700818163977</v>
      </c>
      <c r="O178" s="441">
        <f t="shared" si="35"/>
        <v>-2.6017108187993672</v>
      </c>
    </row>
    <row r="179" spans="1:16" ht="26.25" thickBot="1">
      <c r="B179" s="66" t="s">
        <v>38</v>
      </c>
      <c r="C179" s="67" t="s">
        <v>153</v>
      </c>
      <c r="D179" s="143">
        <f t="shared" ref="D179:D184" si="36">SUM(F179:I179)</f>
        <v>0</v>
      </c>
      <c r="E179" s="144"/>
      <c r="F179" s="144"/>
      <c r="G179" s="145"/>
      <c r="H179" s="145"/>
      <c r="I179" s="146"/>
      <c r="J179" s="143">
        <f t="shared" ref="J179:J180" si="37">SUM(L179:O179)</f>
        <v>0</v>
      </c>
      <c r="K179" s="144"/>
      <c r="L179" s="144"/>
      <c r="M179" s="145"/>
      <c r="N179" s="145"/>
      <c r="O179" s="146"/>
      <c r="P179" s="318"/>
    </row>
    <row r="180" spans="1:16" s="83" customFormat="1" ht="13.5" thickBot="1">
      <c r="B180" s="147" t="s">
        <v>52</v>
      </c>
      <c r="C180" s="148" t="s">
        <v>154</v>
      </c>
      <c r="D180" s="143">
        <f t="shared" si="36"/>
        <v>263860</v>
      </c>
      <c r="E180" s="144"/>
      <c r="F180" s="682">
        <f>F143+E143</f>
        <v>97180</v>
      </c>
      <c r="G180" s="682">
        <f>G143+G194</f>
        <v>4210</v>
      </c>
      <c r="H180" s="682">
        <f>H143+H194</f>
        <v>67420</v>
      </c>
      <c r="I180" s="683">
        <f>I143+I194</f>
        <v>95050</v>
      </c>
      <c r="J180" s="143">
        <f t="shared" si="37"/>
        <v>274503.65300000005</v>
      </c>
      <c r="K180" s="144"/>
      <c r="L180" s="682">
        <f>L143+K143</f>
        <v>67022.467000000004</v>
      </c>
      <c r="M180" s="682">
        <f>M143+M194</f>
        <v>2829.645</v>
      </c>
      <c r="N180" s="682">
        <f>N143+N194</f>
        <v>80613.264999999999</v>
      </c>
      <c r="O180" s="683">
        <f>O143+O194</f>
        <v>124038.27600000001</v>
      </c>
      <c r="P180" s="535"/>
    </row>
    <row r="181" spans="1:16" ht="12.75">
      <c r="B181" s="70" t="s">
        <v>54</v>
      </c>
      <c r="C181" s="71" t="s">
        <v>155</v>
      </c>
      <c r="D181" s="151">
        <f t="shared" si="36"/>
        <v>0</v>
      </c>
      <c r="E181" s="152"/>
      <c r="F181" s="152"/>
      <c r="G181" s="153"/>
      <c r="H181" s="153"/>
      <c r="I181" s="154"/>
      <c r="J181" s="151">
        <f t="shared" ref="J181:J184" si="38">SUM(L181:O181)</f>
        <v>0</v>
      </c>
      <c r="K181" s="152"/>
      <c r="L181" s="152"/>
      <c r="M181" s="153"/>
      <c r="N181" s="153"/>
      <c r="O181" s="154"/>
    </row>
    <row r="182" spans="1:16" ht="12.75">
      <c r="B182" s="72" t="s">
        <v>156</v>
      </c>
      <c r="C182" s="73" t="s">
        <v>157</v>
      </c>
      <c r="D182" s="157">
        <f t="shared" si="36"/>
        <v>0</v>
      </c>
      <c r="E182" s="158"/>
      <c r="F182" s="159"/>
      <c r="G182" s="159"/>
      <c r="H182" s="159"/>
      <c r="I182" s="160"/>
      <c r="J182" s="157">
        <f t="shared" si="38"/>
        <v>0</v>
      </c>
      <c r="K182" s="158"/>
      <c r="L182" s="159"/>
      <c r="M182" s="159"/>
      <c r="N182" s="159"/>
      <c r="O182" s="160"/>
    </row>
    <row r="183" spans="1:16" ht="12.75">
      <c r="B183" s="74" t="s">
        <v>158</v>
      </c>
      <c r="C183" s="75" t="s">
        <v>159</v>
      </c>
      <c r="D183" s="163">
        <f t="shared" si="36"/>
        <v>0</v>
      </c>
      <c r="E183" s="164"/>
      <c r="F183" s="164"/>
      <c r="G183" s="165"/>
      <c r="H183" s="165"/>
      <c r="I183" s="166"/>
      <c r="J183" s="163">
        <f t="shared" si="38"/>
        <v>0</v>
      </c>
      <c r="K183" s="164"/>
      <c r="L183" s="164"/>
      <c r="M183" s="165"/>
      <c r="N183" s="165"/>
      <c r="O183" s="166"/>
    </row>
    <row r="184" spans="1:16" ht="12.75">
      <c r="B184" s="76" t="s">
        <v>56</v>
      </c>
      <c r="C184" s="77" t="s">
        <v>160</v>
      </c>
      <c r="D184" s="110">
        <f t="shared" si="36"/>
        <v>0</v>
      </c>
      <c r="E184" s="111"/>
      <c r="F184" s="111"/>
      <c r="G184" s="112"/>
      <c r="H184" s="112"/>
      <c r="I184" s="113"/>
      <c r="J184" s="110">
        <f t="shared" si="38"/>
        <v>0</v>
      </c>
      <c r="K184" s="111"/>
      <c r="L184" s="111"/>
      <c r="M184" s="112"/>
      <c r="N184" s="112"/>
      <c r="O184" s="113"/>
    </row>
    <row r="185" spans="1:16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9" spans="1:16" ht="12.75">
      <c r="A189" s="832" t="s">
        <v>211</v>
      </c>
      <c r="B189" s="832"/>
      <c r="C189" s="832"/>
      <c r="D189" s="832"/>
      <c r="E189" s="832"/>
      <c r="F189" s="832"/>
      <c r="G189" s="832"/>
      <c r="H189" s="832"/>
      <c r="I189" s="832"/>
      <c r="J189" s="832"/>
      <c r="K189" s="832"/>
      <c r="L189" s="832"/>
      <c r="M189" s="832"/>
      <c r="N189" s="832"/>
      <c r="O189" s="832"/>
    </row>
    <row r="191" spans="1:16" ht="12.75">
      <c r="A191" s="171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523"/>
      <c r="B194" s="524"/>
      <c r="C194" s="523" t="s">
        <v>193</v>
      </c>
      <c r="D194" s="523"/>
      <c r="E194" s="523"/>
      <c r="F194" s="523"/>
      <c r="G194" s="523">
        <v>149</v>
      </c>
      <c r="H194" s="523">
        <v>824.2</v>
      </c>
      <c r="I194" s="523">
        <v>687.8</v>
      </c>
      <c r="J194" s="523"/>
      <c r="K194" s="523"/>
      <c r="L194" s="523"/>
      <c r="M194" s="523"/>
      <c r="N194" s="531">
        <v>3866.1239999999998</v>
      </c>
      <c r="O194" s="531">
        <v>531.51300000000003</v>
      </c>
    </row>
    <row r="195" spans="1:15">
      <c r="A195" s="523"/>
      <c r="B195" s="524"/>
      <c r="C195" s="523"/>
      <c r="D195" s="523"/>
      <c r="E195" s="523"/>
      <c r="F195" s="583">
        <v>10712.860055755211</v>
      </c>
      <c r="G195" s="523"/>
      <c r="H195" s="523"/>
      <c r="I195" s="523"/>
      <c r="J195" s="523"/>
      <c r="K195" s="523"/>
      <c r="L195" s="578">
        <v>9736.290689999998</v>
      </c>
      <c r="M195" s="523"/>
      <c r="N195" s="523"/>
      <c r="O195" s="523"/>
    </row>
    <row r="197" spans="1:15">
      <c r="M197" s="24"/>
      <c r="N197" s="24"/>
    </row>
    <row r="198" spans="1:15">
      <c r="F198" s="24"/>
      <c r="G198" s="24"/>
      <c r="H198" s="24"/>
      <c r="I198" s="24"/>
      <c r="L198" s="24"/>
      <c r="M198" s="24"/>
      <c r="N198" s="24"/>
      <c r="O198" s="24"/>
    </row>
    <row r="199" spans="1:15">
      <c r="F199" s="24"/>
      <c r="G199" s="24"/>
      <c r="H199" s="24"/>
      <c r="I199" s="24"/>
      <c r="L199" s="24"/>
      <c r="M199" s="24"/>
      <c r="N199" s="24"/>
      <c r="O199" s="24"/>
    </row>
    <row r="200" spans="1:15">
      <c r="L200" s="24"/>
      <c r="M200" s="24"/>
      <c r="N200" s="24"/>
      <c r="O200" s="24"/>
    </row>
    <row r="202" spans="1:15">
      <c r="G202" s="24"/>
      <c r="H202" s="24"/>
      <c r="I202" s="321"/>
      <c r="M202" s="24"/>
      <c r="N202" s="24"/>
      <c r="O202" s="321"/>
    </row>
    <row r="204" spans="1:15">
      <c r="M204" s="24"/>
    </row>
    <row r="206" spans="1:15">
      <c r="M206" s="24"/>
    </row>
  </sheetData>
  <mergeCells count="25"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  <mergeCell ref="A6:A29"/>
    <mergeCell ref="A30:A43"/>
    <mergeCell ref="I4:I5"/>
    <mergeCell ref="J4:J5"/>
    <mergeCell ref="K4:L4"/>
    <mergeCell ref="A189:O189"/>
    <mergeCell ref="D166:I166"/>
    <mergeCell ref="J166:O166"/>
    <mergeCell ref="A46:A150"/>
    <mergeCell ref="A151:A163"/>
    <mergeCell ref="B166:B167"/>
    <mergeCell ref="C166:C167"/>
  </mergeCells>
  <phoneticPr fontId="0" type="noConversion"/>
  <pageMargins left="0.86614173228346458" right="0.27559055118110237" top="0.74803149606299213" bottom="0.55118110236220474" header="0.51181102362204722" footer="0.51181102362204722"/>
  <pageSetup paperSize="9" scale="62" firstPageNumber="0" orientation="landscape" horizontalDpi="300" verticalDpi="300" r:id="rId1"/>
  <headerFooter alignWithMargins="0"/>
  <rowBreaks count="2" manualBreakCount="2">
    <brk id="57" max="14" man="1"/>
    <brk id="118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199"/>
  <sheetViews>
    <sheetView view="pageBreakPreview" zoomScale="90" zoomScaleSheetLayoutView="90" workbookViewId="0">
      <pane xSplit="3" ySplit="5" topLeftCell="J31" activePane="bottomRight" state="frozen"/>
      <selection pane="topRight" activeCell="D1" sqref="D1"/>
      <selection pane="bottomLeft" activeCell="A63" sqref="A63"/>
      <selection pane="bottomRight" activeCell="N57" sqref="N57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.5703125" style="1" customWidth="1"/>
    <col min="6" max="6" width="11.85546875" style="1" customWidth="1"/>
    <col min="7" max="7" width="11.140625" style="1" customWidth="1"/>
    <col min="8" max="8" width="10.5703125" style="1" customWidth="1"/>
    <col min="9" max="10" width="11.85546875" style="1" customWidth="1"/>
    <col min="11" max="11" width="11.140625" style="1" customWidth="1"/>
    <col min="12" max="12" width="11.28515625" style="1" customWidth="1"/>
    <col min="13" max="13" width="12.42578125" style="1" bestFit="1" customWidth="1"/>
    <col min="14" max="14" width="11" style="1" customWidth="1"/>
    <col min="15" max="16" width="11.5703125" style="1" customWidth="1"/>
    <col min="17" max="17" width="16.140625" style="1" customWidth="1"/>
    <col min="18" max="18" width="10" style="1" customWidth="1"/>
    <col min="19" max="16384" width="9.140625" style="1"/>
  </cols>
  <sheetData>
    <row r="1" spans="1:16" ht="15.75">
      <c r="A1" s="817" t="s">
        <v>222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530"/>
    </row>
    <row r="2" spans="1:16" ht="6.75" customHeight="1" thickBot="1"/>
    <row r="3" spans="1:16" s="3" customFormat="1">
      <c r="A3" s="856"/>
      <c r="B3" s="857" t="s">
        <v>0</v>
      </c>
      <c r="C3" s="858" t="s">
        <v>1</v>
      </c>
      <c r="D3" s="867" t="s">
        <v>2</v>
      </c>
      <c r="E3" s="867"/>
      <c r="F3" s="867"/>
      <c r="G3" s="867"/>
      <c r="H3" s="867"/>
      <c r="I3" s="867"/>
      <c r="J3" s="867" t="s">
        <v>3</v>
      </c>
      <c r="K3" s="867"/>
      <c r="L3" s="867"/>
      <c r="M3" s="867"/>
      <c r="N3" s="867"/>
      <c r="O3" s="867"/>
      <c r="P3" s="536"/>
    </row>
    <row r="4" spans="1:16" s="3" customFormat="1" ht="12.75" customHeight="1" thickTop="1" thickBot="1">
      <c r="A4" s="856"/>
      <c r="B4" s="857"/>
      <c r="C4" s="858"/>
      <c r="D4" s="865" t="s">
        <v>4</v>
      </c>
      <c r="E4" s="866" t="s">
        <v>5</v>
      </c>
      <c r="F4" s="866"/>
      <c r="G4" s="868" t="s">
        <v>6</v>
      </c>
      <c r="H4" s="868" t="s">
        <v>7</v>
      </c>
      <c r="I4" s="864" t="s">
        <v>8</v>
      </c>
      <c r="J4" s="865" t="s">
        <v>4</v>
      </c>
      <c r="K4" s="866" t="s">
        <v>5</v>
      </c>
      <c r="L4" s="866"/>
      <c r="M4" s="868" t="s">
        <v>6</v>
      </c>
      <c r="N4" s="868" t="s">
        <v>7</v>
      </c>
      <c r="O4" s="864" t="s">
        <v>8</v>
      </c>
      <c r="P4" s="536"/>
    </row>
    <row r="5" spans="1:16" s="6" customFormat="1" ht="13.5" thickTop="1" thickBot="1">
      <c r="A5" s="856"/>
      <c r="B5" s="857"/>
      <c r="C5" s="858"/>
      <c r="D5" s="865"/>
      <c r="E5" s="4">
        <v>220</v>
      </c>
      <c r="F5" s="4">
        <v>110</v>
      </c>
      <c r="G5" s="868"/>
      <c r="H5" s="868"/>
      <c r="I5" s="864"/>
      <c r="J5" s="865"/>
      <c r="K5" s="5">
        <v>220</v>
      </c>
      <c r="L5" s="178">
        <v>110</v>
      </c>
      <c r="M5" s="868"/>
      <c r="N5" s="868"/>
      <c r="O5" s="864"/>
      <c r="P5" s="536"/>
    </row>
    <row r="6" spans="1:16" ht="13.5" thickTop="1" thickBot="1">
      <c r="A6" s="862" t="s">
        <v>9</v>
      </c>
      <c r="B6" s="179" t="s">
        <v>10</v>
      </c>
      <c r="C6" s="179" t="s">
        <v>11</v>
      </c>
      <c r="D6" s="180">
        <f t="shared" ref="D6:I6" si="0">SUM(D7:D9,D12,D14)</f>
        <v>1125920</v>
      </c>
      <c r="E6" s="181">
        <f t="shared" si="0"/>
        <v>0</v>
      </c>
      <c r="F6" s="181">
        <f t="shared" si="0"/>
        <v>920540</v>
      </c>
      <c r="G6" s="181">
        <f t="shared" si="0"/>
        <v>131280</v>
      </c>
      <c r="H6" s="181">
        <f t="shared" si="0"/>
        <v>74070</v>
      </c>
      <c r="I6" s="181">
        <f t="shared" si="0"/>
        <v>30</v>
      </c>
      <c r="J6" s="180">
        <f t="shared" ref="J6:O6" si="1">SUM(J7:J9,J12,J14)</f>
        <v>1161021.709</v>
      </c>
      <c r="K6" s="181">
        <f t="shared" si="1"/>
        <v>0</v>
      </c>
      <c r="L6" s="181">
        <f t="shared" si="1"/>
        <v>980546.07500000007</v>
      </c>
      <c r="M6" s="181">
        <f t="shared" si="1"/>
        <v>106414.88500000001</v>
      </c>
      <c r="N6" s="181">
        <f t="shared" si="1"/>
        <v>74039.432000000001</v>
      </c>
      <c r="O6" s="181">
        <f t="shared" si="1"/>
        <v>21.317</v>
      </c>
      <c r="P6" s="537"/>
    </row>
    <row r="7" spans="1:16" ht="13.5" thickTop="1" thickBot="1">
      <c r="A7" s="862"/>
      <c r="B7" s="182" t="s">
        <v>12</v>
      </c>
      <c r="C7" s="182" t="s">
        <v>13</v>
      </c>
      <c r="D7" s="183">
        <f>SUM(E7:I7)</f>
        <v>0</v>
      </c>
      <c r="E7" s="235"/>
      <c r="F7" s="235"/>
      <c r="G7" s="235"/>
      <c r="H7" s="235"/>
      <c r="I7" s="235"/>
      <c r="J7" s="183">
        <f>SUM(K7:O7)</f>
        <v>0</v>
      </c>
      <c r="K7" s="235"/>
      <c r="L7" s="235"/>
      <c r="M7" s="235"/>
      <c r="N7" s="235"/>
      <c r="O7" s="235"/>
      <c r="P7" s="538"/>
    </row>
    <row r="8" spans="1:16" ht="13.5" thickTop="1" thickBot="1">
      <c r="A8" s="862"/>
      <c r="B8" s="182" t="s">
        <v>14</v>
      </c>
      <c r="C8" s="182" t="s">
        <v>15</v>
      </c>
      <c r="D8" s="183">
        <f>SUM(E8:I8)</f>
        <v>557335</v>
      </c>
      <c r="E8" s="184">
        <f>апрель!E8+май!E8+июнь!E8</f>
        <v>0</v>
      </c>
      <c r="F8" s="184">
        <f>апрель!F8+май!F8+июнь!F8</f>
        <v>459185</v>
      </c>
      <c r="G8" s="184">
        <f>апрель!G8+май!G8+июнь!G8</f>
        <v>32650</v>
      </c>
      <c r="H8" s="184">
        <f>апрель!H8+май!H8+июнь!H8</f>
        <v>65470</v>
      </c>
      <c r="I8" s="184">
        <f>апрель!I8+май!I8+июнь!I8</f>
        <v>30</v>
      </c>
      <c r="J8" s="183">
        <f>SUM(K8:O8)</f>
        <v>502241.32</v>
      </c>
      <c r="K8" s="184">
        <f>апрель!K8+май!K8+июнь!K8</f>
        <v>0</v>
      </c>
      <c r="L8" s="184">
        <f>апрель!L8+май!L8+июнь!L8</f>
        <v>403332.80200000003</v>
      </c>
      <c r="M8" s="184">
        <f>апрель!M8+май!M8+июнь!M8</f>
        <v>32978.964</v>
      </c>
      <c r="N8" s="184">
        <f>апрель!N8+май!N8+июнь!N8</f>
        <v>65908.237000000008</v>
      </c>
      <c r="O8" s="184">
        <f>апрель!O8+май!O8+июнь!O8</f>
        <v>21.317</v>
      </c>
      <c r="P8" s="539"/>
    </row>
    <row r="9" spans="1:16" ht="13.5" thickTop="1" thickBot="1">
      <c r="A9" s="862"/>
      <c r="B9" s="182" t="s">
        <v>16</v>
      </c>
      <c r="C9" s="182" t="s">
        <v>17</v>
      </c>
      <c r="D9" s="183">
        <f t="shared" ref="D9:I9" si="2">SUM(D10:D11)</f>
        <v>26350</v>
      </c>
      <c r="E9" s="185">
        <f t="shared" si="2"/>
        <v>0</v>
      </c>
      <c r="F9" s="185">
        <f t="shared" si="2"/>
        <v>26350</v>
      </c>
      <c r="G9" s="185">
        <f t="shared" si="2"/>
        <v>0</v>
      </c>
      <c r="H9" s="185">
        <f t="shared" si="2"/>
        <v>0</v>
      </c>
      <c r="I9" s="185">
        <f t="shared" si="2"/>
        <v>0</v>
      </c>
      <c r="J9" s="183">
        <f t="shared" ref="J9:O9" si="3">SUM(J10:J11)</f>
        <v>17752.847999999998</v>
      </c>
      <c r="K9" s="185">
        <f t="shared" si="3"/>
        <v>0</v>
      </c>
      <c r="L9" s="185">
        <f t="shared" si="3"/>
        <v>17752.847999999998</v>
      </c>
      <c r="M9" s="185">
        <f t="shared" si="3"/>
        <v>0</v>
      </c>
      <c r="N9" s="185">
        <f t="shared" si="3"/>
        <v>0</v>
      </c>
      <c r="O9" s="185">
        <f t="shared" si="3"/>
        <v>0</v>
      </c>
      <c r="P9" s="540"/>
    </row>
    <row r="10" spans="1:16" ht="13.5" thickTop="1" thickBot="1">
      <c r="A10" s="862"/>
      <c r="B10" s="186" t="s">
        <v>18</v>
      </c>
      <c r="C10" s="187" t="s">
        <v>192</v>
      </c>
      <c r="D10" s="188">
        <f>SUM(F10:I10)</f>
        <v>22090</v>
      </c>
      <c r="E10" s="235"/>
      <c r="F10" s="184">
        <f>апрель!F10+май!F10+июнь!F10</f>
        <v>22090</v>
      </c>
      <c r="G10" s="235"/>
      <c r="H10" s="235"/>
      <c r="I10" s="235"/>
      <c r="J10" s="188">
        <f>SUM(L10:O10)</f>
        <v>14650.583999999999</v>
      </c>
      <c r="K10" s="235"/>
      <c r="L10" s="184">
        <f>апрель!L10+май!L10+июнь!L10</f>
        <v>14650.583999999999</v>
      </c>
      <c r="M10" s="235"/>
      <c r="N10" s="235"/>
      <c r="O10" s="235"/>
      <c r="P10" s="538"/>
    </row>
    <row r="11" spans="1:16" ht="13.5" thickTop="1" thickBot="1">
      <c r="A11" s="862"/>
      <c r="B11" s="186" t="s">
        <v>19</v>
      </c>
      <c r="C11" s="187" t="s">
        <v>191</v>
      </c>
      <c r="D11" s="188">
        <f>SUM(F11:I11)</f>
        <v>4260</v>
      </c>
      <c r="E11" s="235"/>
      <c r="F11" s="184">
        <f>апрель!F11+май!F11+июнь!F11</f>
        <v>4260</v>
      </c>
      <c r="G11" s="235"/>
      <c r="H11" s="235"/>
      <c r="I11" s="235"/>
      <c r="J11" s="188">
        <f>SUM(L11:O11)</f>
        <v>3102.2640000000001</v>
      </c>
      <c r="K11" s="235"/>
      <c r="L11" s="184">
        <f>апрель!L11+май!L11+июнь!L11</f>
        <v>3102.2640000000001</v>
      </c>
      <c r="M11" s="235"/>
      <c r="N11" s="235"/>
      <c r="O11" s="235"/>
      <c r="P11" s="538"/>
    </row>
    <row r="12" spans="1:16" ht="13.5" thickTop="1" thickBot="1">
      <c r="A12" s="862"/>
      <c r="B12" s="182" t="s">
        <v>20</v>
      </c>
      <c r="C12" s="182" t="s">
        <v>21</v>
      </c>
      <c r="D12" s="183">
        <f>SUM(E12:I12)</f>
        <v>539435</v>
      </c>
      <c r="E12" s="235"/>
      <c r="F12" s="184">
        <f>апрель!F12+май!F12+июнь!F12</f>
        <v>435005</v>
      </c>
      <c r="G12" s="184">
        <f>апрель!G12+май!G12+июнь!G12</f>
        <v>95830</v>
      </c>
      <c r="H12" s="184">
        <f>апрель!H12+май!H12+июнь!H12</f>
        <v>8600</v>
      </c>
      <c r="I12" s="235"/>
      <c r="J12" s="332">
        <f>SUM(K12:O12)</f>
        <v>641027.54099999997</v>
      </c>
      <c r="K12" s="235"/>
      <c r="L12" s="184">
        <f>апрель!L12+май!L12+июнь!L12</f>
        <v>559460.42500000005</v>
      </c>
      <c r="M12" s="184">
        <f>апрель!M12+май!M12+июнь!M12</f>
        <v>73435.921000000002</v>
      </c>
      <c r="N12" s="184">
        <f>апрель!N12+май!N12+июнь!N12</f>
        <v>8131.1949999999997</v>
      </c>
      <c r="O12" s="235"/>
      <c r="P12" s="538"/>
    </row>
    <row r="13" spans="1:16" ht="13.5" thickTop="1" thickBot="1">
      <c r="A13" s="862"/>
      <c r="B13" s="186" t="s">
        <v>22</v>
      </c>
      <c r="C13" s="187" t="s">
        <v>23</v>
      </c>
      <c r="D13" s="183">
        <f>SUM(E13:I13)</f>
        <v>0</v>
      </c>
      <c r="E13" s="235"/>
      <c r="F13" s="235"/>
      <c r="G13" s="235"/>
      <c r="H13" s="235"/>
      <c r="I13" s="235"/>
      <c r="J13" s="332">
        <f>SUM(K13:O13)</f>
        <v>0</v>
      </c>
      <c r="K13" s="235"/>
      <c r="L13" s="235"/>
      <c r="M13" s="235"/>
      <c r="N13" s="235"/>
      <c r="O13" s="235"/>
      <c r="P13" s="538"/>
    </row>
    <row r="14" spans="1:16" ht="13.5" thickTop="1" thickBot="1">
      <c r="A14" s="862"/>
      <c r="B14" s="182" t="s">
        <v>24</v>
      </c>
      <c r="C14" s="182" t="s">
        <v>25</v>
      </c>
      <c r="D14" s="183">
        <f>SUM(E14:I14)</f>
        <v>2800</v>
      </c>
      <c r="E14" s="235"/>
      <c r="F14" s="235"/>
      <c r="G14" s="184">
        <f>апрель!G14+май!G14+июнь!G14</f>
        <v>2800</v>
      </c>
      <c r="H14" s="235"/>
      <c r="I14" s="235"/>
      <c r="J14" s="332">
        <f>SUM(K14:O14)</f>
        <v>0</v>
      </c>
      <c r="K14" s="235"/>
      <c r="L14" s="235"/>
      <c r="M14" s="184">
        <f>апрель!M14+май!M14+июнь!M14</f>
        <v>0</v>
      </c>
      <c r="N14" s="235"/>
      <c r="O14" s="235"/>
      <c r="P14" s="538"/>
    </row>
    <row r="15" spans="1:16" ht="13.5" thickTop="1" thickBot="1">
      <c r="A15" s="862"/>
      <c r="B15" s="179" t="s">
        <v>26</v>
      </c>
      <c r="C15" s="179" t="s">
        <v>27</v>
      </c>
      <c r="D15" s="180">
        <f t="shared" ref="D15:I15" si="4">SUM(D16:D18,D21)</f>
        <v>246890</v>
      </c>
      <c r="E15" s="189">
        <f t="shared" si="4"/>
        <v>0</v>
      </c>
      <c r="F15" s="189">
        <f t="shared" si="4"/>
        <v>245510</v>
      </c>
      <c r="G15" s="189">
        <f t="shared" si="4"/>
        <v>1360</v>
      </c>
      <c r="H15" s="189">
        <f t="shared" si="4"/>
        <v>0</v>
      </c>
      <c r="I15" s="189">
        <f t="shared" si="4"/>
        <v>20</v>
      </c>
      <c r="J15" s="180">
        <f t="shared" ref="J15:O15" si="5">SUM(J16:J18,J21)</f>
        <v>315860.54300000001</v>
      </c>
      <c r="K15" s="189">
        <f t="shared" si="5"/>
        <v>0</v>
      </c>
      <c r="L15" s="189">
        <f t="shared" si="5"/>
        <v>314976.56299999997</v>
      </c>
      <c r="M15" s="189">
        <f t="shared" si="5"/>
        <v>842.60699999999997</v>
      </c>
      <c r="N15" s="189">
        <f t="shared" si="5"/>
        <v>22.536000000000001</v>
      </c>
      <c r="O15" s="189">
        <f t="shared" si="5"/>
        <v>18.837</v>
      </c>
      <c r="P15" s="541"/>
    </row>
    <row r="16" spans="1:16" ht="13.5" thickTop="1" thickBot="1">
      <c r="A16" s="862"/>
      <c r="B16" s="182" t="s">
        <v>28</v>
      </c>
      <c r="C16" s="182" t="s">
        <v>29</v>
      </c>
      <c r="D16" s="183">
        <f>SUM(E16:I16)</f>
        <v>0</v>
      </c>
      <c r="E16" s="235"/>
      <c r="F16" s="235"/>
      <c r="G16" s="235"/>
      <c r="H16" s="235"/>
      <c r="I16" s="235"/>
      <c r="J16" s="183">
        <f>SUM(K16:O16)</f>
        <v>0</v>
      </c>
      <c r="K16" s="235"/>
      <c r="L16" s="235"/>
      <c r="M16" s="235"/>
      <c r="N16" s="235"/>
      <c r="O16" s="235"/>
      <c r="P16" s="538"/>
    </row>
    <row r="17" spans="1:16" ht="13.5" thickTop="1" thickBot="1">
      <c r="A17" s="862"/>
      <c r="B17" s="182" t="s">
        <v>30</v>
      </c>
      <c r="C17" s="182" t="s">
        <v>31</v>
      </c>
      <c r="D17" s="183">
        <f>SUM(E17:I17)</f>
        <v>230320</v>
      </c>
      <c r="E17" s="184">
        <f>апрель!E17+май!E17+июнь!E17</f>
        <v>0</v>
      </c>
      <c r="F17" s="184">
        <f>апрель!F17+май!F17+июнь!F17</f>
        <v>230300</v>
      </c>
      <c r="G17" s="184">
        <f>апрель!G17+май!G17+июнь!G17</f>
        <v>0</v>
      </c>
      <c r="H17" s="184">
        <f>апрель!H17+май!H17+июнь!H17</f>
        <v>0</v>
      </c>
      <c r="I17" s="184">
        <f>апрель!I17+май!I17+июнь!I17</f>
        <v>20</v>
      </c>
      <c r="J17" s="183">
        <f>SUM(K17:O17)</f>
        <v>292441.19400000002</v>
      </c>
      <c r="K17" s="184">
        <f>апрель!K17+май!K17+июнь!K17</f>
        <v>0</v>
      </c>
      <c r="L17" s="184">
        <f>апрель!L17+май!L17+июнь!L17</f>
        <v>292399.8</v>
      </c>
      <c r="M17" s="184">
        <f>апрель!M17+май!M17+июнь!M17</f>
        <v>2.1000000000000001E-2</v>
      </c>
      <c r="N17" s="184">
        <f>апрель!N17+май!N17+июнь!N17</f>
        <v>22.536000000000001</v>
      </c>
      <c r="O17" s="184">
        <f>апрель!O17+май!O17+июнь!O17</f>
        <v>18.837</v>
      </c>
      <c r="P17" s="539"/>
    </row>
    <row r="18" spans="1:16" ht="13.5" thickTop="1" thickBot="1">
      <c r="A18" s="862"/>
      <c r="B18" s="182" t="s">
        <v>32</v>
      </c>
      <c r="C18" s="182" t="s">
        <v>33</v>
      </c>
      <c r="D18" s="183">
        <f t="shared" ref="D18:I18" si="6">SUM(D19:D20)</f>
        <v>10770</v>
      </c>
      <c r="E18" s="185">
        <f t="shared" si="6"/>
        <v>0</v>
      </c>
      <c r="F18" s="185">
        <f t="shared" si="6"/>
        <v>10180</v>
      </c>
      <c r="G18" s="185">
        <f t="shared" si="6"/>
        <v>590</v>
      </c>
      <c r="H18" s="185">
        <f t="shared" si="6"/>
        <v>0</v>
      </c>
      <c r="I18" s="185">
        <f t="shared" si="6"/>
        <v>0</v>
      </c>
      <c r="J18" s="183">
        <f t="shared" ref="J18:O18" si="7">SUM(J19:J20)</f>
        <v>16735.170999999998</v>
      </c>
      <c r="K18" s="185">
        <f t="shared" si="7"/>
        <v>0</v>
      </c>
      <c r="L18" s="185">
        <f t="shared" si="7"/>
        <v>16219.902999999998</v>
      </c>
      <c r="M18" s="185">
        <f t="shared" si="7"/>
        <v>515.26800000000003</v>
      </c>
      <c r="N18" s="185">
        <f t="shared" si="7"/>
        <v>0</v>
      </c>
      <c r="O18" s="185">
        <f t="shared" si="7"/>
        <v>0</v>
      </c>
      <c r="P18" s="540"/>
    </row>
    <row r="19" spans="1:16" ht="13.5" thickTop="1" thickBot="1">
      <c r="A19" s="862"/>
      <c r="B19" s="186" t="s">
        <v>34</v>
      </c>
      <c r="C19" s="187" t="s">
        <v>192</v>
      </c>
      <c r="D19" s="188">
        <f t="shared" ref="D19:D29" si="8">SUM(E19:I19)</f>
        <v>1720</v>
      </c>
      <c r="E19" s="235"/>
      <c r="F19" s="184">
        <f>апрель!F19+май!F19+июнь!F19</f>
        <v>1720</v>
      </c>
      <c r="G19" s="235"/>
      <c r="H19" s="235"/>
      <c r="I19" s="235"/>
      <c r="J19" s="188">
        <f t="shared" ref="J19:J29" si="9">SUM(K19:O19)</f>
        <v>8506.2849999999999</v>
      </c>
      <c r="K19" s="235"/>
      <c r="L19" s="184">
        <f>апрель!L19+май!L19+июнь!L19</f>
        <v>8506.2849999999999</v>
      </c>
      <c r="M19" s="235"/>
      <c r="N19" s="235"/>
      <c r="O19" s="235"/>
      <c r="P19" s="538"/>
    </row>
    <row r="20" spans="1:16" ht="13.5" thickTop="1" thickBot="1">
      <c r="A20" s="862"/>
      <c r="B20" s="190" t="s">
        <v>35</v>
      </c>
      <c r="C20" s="187" t="s">
        <v>191</v>
      </c>
      <c r="D20" s="188">
        <f t="shared" si="8"/>
        <v>9050</v>
      </c>
      <c r="E20" s="235"/>
      <c r="F20" s="184">
        <f>апрель!F20+май!F20+июнь!F20</f>
        <v>8460</v>
      </c>
      <c r="G20" s="184">
        <f>апрель!G20+май!G20+июнь!G20</f>
        <v>590</v>
      </c>
      <c r="H20" s="235"/>
      <c r="I20" s="235"/>
      <c r="J20" s="188">
        <f t="shared" si="9"/>
        <v>8228.8859999999986</v>
      </c>
      <c r="K20" s="235"/>
      <c r="L20" s="184">
        <f>апрель!L20+май!L20+июнь!L20</f>
        <v>7713.6179999999995</v>
      </c>
      <c r="M20" s="184">
        <f>апрель!M20+май!M20+июнь!M20</f>
        <v>515.26800000000003</v>
      </c>
      <c r="N20" s="235"/>
      <c r="O20" s="235"/>
      <c r="P20" s="538"/>
    </row>
    <row r="21" spans="1:16" ht="13.5" thickTop="1" thickBot="1">
      <c r="A21" s="862"/>
      <c r="B21" s="182" t="s">
        <v>36</v>
      </c>
      <c r="C21" s="182" t="s">
        <v>37</v>
      </c>
      <c r="D21" s="183">
        <f t="shared" si="8"/>
        <v>5800</v>
      </c>
      <c r="E21" s="235"/>
      <c r="F21" s="184">
        <f>апрель!F21+май!F21+июнь!F21</f>
        <v>5030</v>
      </c>
      <c r="G21" s="184">
        <f>апрель!G21+май!G21+июнь!G21</f>
        <v>770</v>
      </c>
      <c r="H21" s="235"/>
      <c r="I21" s="235"/>
      <c r="J21" s="183">
        <f t="shared" si="9"/>
        <v>6684.1779999999999</v>
      </c>
      <c r="K21" s="235"/>
      <c r="L21" s="184">
        <f>апрель!L21+май!L21+июнь!L21</f>
        <v>6356.86</v>
      </c>
      <c r="M21" s="184">
        <f>апрель!M21+май!M21+июнь!M21</f>
        <v>327.31799999999998</v>
      </c>
      <c r="N21" s="235"/>
      <c r="O21" s="235"/>
      <c r="P21" s="538"/>
    </row>
    <row r="22" spans="1:16" s="17" customFormat="1" ht="13.5" thickTop="1" thickBot="1">
      <c r="A22" s="862"/>
      <c r="B22" s="232" t="s">
        <v>38</v>
      </c>
      <c r="C22" s="232" t="s">
        <v>39</v>
      </c>
      <c r="D22" s="192">
        <f t="shared" si="8"/>
        <v>879030</v>
      </c>
      <c r="E22" s="192">
        <f>SUM(E23:E25,E28,E29)</f>
        <v>0</v>
      </c>
      <c r="F22" s="192">
        <f>SUM(F23:F25,F28,F29)</f>
        <v>675030</v>
      </c>
      <c r="G22" s="192">
        <f>SUM(G23:G25,G28,G29)</f>
        <v>129920</v>
      </c>
      <c r="H22" s="192">
        <f>SUM(H23:H25,H28,H29)</f>
        <v>74070</v>
      </c>
      <c r="I22" s="192">
        <f>SUM(I23:I25,I28,I29)</f>
        <v>10</v>
      </c>
      <c r="J22" s="192">
        <f t="shared" si="9"/>
        <v>845161.1660000002</v>
      </c>
      <c r="K22" s="533">
        <f>SUM(K23:K25,K28,K29)</f>
        <v>0</v>
      </c>
      <c r="L22" s="533">
        <f>SUM(L23:L25,L28,L29)</f>
        <v>665569.5120000001</v>
      </c>
      <c r="M22" s="533">
        <f>SUM(M23:M25,M28,M29)</f>
        <v>105572.27800000001</v>
      </c>
      <c r="N22" s="533">
        <f>SUM(N23:N25,N28,N29)</f>
        <v>74016.896000000008</v>
      </c>
      <c r="O22" s="533">
        <f>SUM(O23:O25,O28,O29)</f>
        <v>2.4800000000000004</v>
      </c>
      <c r="P22" s="542"/>
    </row>
    <row r="23" spans="1:16" ht="13.5" thickTop="1" thickBot="1">
      <c r="A23" s="862"/>
      <c r="B23" s="182" t="s">
        <v>40</v>
      </c>
      <c r="C23" s="182" t="s">
        <v>41</v>
      </c>
      <c r="D23" s="183">
        <f t="shared" si="8"/>
        <v>0</v>
      </c>
      <c r="E23" s="183">
        <f t="shared" ref="E23:I28" si="10">E7-E16</f>
        <v>0</v>
      </c>
      <c r="F23" s="183">
        <f t="shared" si="10"/>
        <v>0</v>
      </c>
      <c r="G23" s="183">
        <f t="shared" si="10"/>
        <v>0</v>
      </c>
      <c r="H23" s="183">
        <f t="shared" si="10"/>
        <v>0</v>
      </c>
      <c r="I23" s="183">
        <f t="shared" si="10"/>
        <v>0</v>
      </c>
      <c r="J23" s="183">
        <f t="shared" si="9"/>
        <v>0</v>
      </c>
      <c r="K23" s="183">
        <f t="shared" ref="K23:O28" si="11">K7-K16</f>
        <v>0</v>
      </c>
      <c r="L23" s="183">
        <f t="shared" si="11"/>
        <v>0</v>
      </c>
      <c r="M23" s="183">
        <f t="shared" si="11"/>
        <v>0</v>
      </c>
      <c r="N23" s="183">
        <f t="shared" si="11"/>
        <v>0</v>
      </c>
      <c r="O23" s="183">
        <f t="shared" si="11"/>
        <v>0</v>
      </c>
      <c r="P23" s="543"/>
    </row>
    <row r="24" spans="1:16" ht="13.5" thickTop="1" thickBot="1">
      <c r="A24" s="862"/>
      <c r="B24" s="182" t="s">
        <v>42</v>
      </c>
      <c r="C24" s="182" t="s">
        <v>43</v>
      </c>
      <c r="D24" s="183">
        <f t="shared" si="8"/>
        <v>327015</v>
      </c>
      <c r="E24" s="183">
        <f t="shared" si="10"/>
        <v>0</v>
      </c>
      <c r="F24" s="183">
        <f t="shared" si="10"/>
        <v>228885</v>
      </c>
      <c r="G24" s="183">
        <f t="shared" si="10"/>
        <v>32650</v>
      </c>
      <c r="H24" s="183">
        <f t="shared" si="10"/>
        <v>65470</v>
      </c>
      <c r="I24" s="183">
        <f t="shared" si="10"/>
        <v>10</v>
      </c>
      <c r="J24" s="183">
        <f t="shared" si="9"/>
        <v>209800.12600000008</v>
      </c>
      <c r="K24" s="183">
        <f t="shared" si="11"/>
        <v>0</v>
      </c>
      <c r="L24" s="183">
        <f t="shared" si="11"/>
        <v>110933.00200000004</v>
      </c>
      <c r="M24" s="183">
        <f t="shared" si="11"/>
        <v>32978.942999999999</v>
      </c>
      <c r="N24" s="183">
        <f t="shared" si="11"/>
        <v>65885.701000000015</v>
      </c>
      <c r="O24" s="183">
        <f t="shared" si="11"/>
        <v>2.4800000000000004</v>
      </c>
      <c r="P24" s="543"/>
    </row>
    <row r="25" spans="1:16" ht="13.5" thickTop="1" thickBot="1">
      <c r="A25" s="862"/>
      <c r="B25" s="182" t="s">
        <v>44</v>
      </c>
      <c r="C25" s="182" t="s">
        <v>45</v>
      </c>
      <c r="D25" s="183">
        <f t="shared" si="8"/>
        <v>15580</v>
      </c>
      <c r="E25" s="183">
        <f t="shared" si="10"/>
        <v>0</v>
      </c>
      <c r="F25" s="183">
        <f t="shared" si="10"/>
        <v>16170</v>
      </c>
      <c r="G25" s="183">
        <f t="shared" si="10"/>
        <v>-590</v>
      </c>
      <c r="H25" s="183">
        <f t="shared" si="10"/>
        <v>0</v>
      </c>
      <c r="I25" s="183">
        <f t="shared" si="10"/>
        <v>0</v>
      </c>
      <c r="J25" s="183">
        <f t="shared" si="9"/>
        <v>1017.6769999999997</v>
      </c>
      <c r="K25" s="183">
        <f t="shared" si="11"/>
        <v>0</v>
      </c>
      <c r="L25" s="183">
        <f t="shared" si="11"/>
        <v>1532.9449999999997</v>
      </c>
      <c r="M25" s="183">
        <f t="shared" si="11"/>
        <v>-515.26800000000003</v>
      </c>
      <c r="N25" s="183">
        <f t="shared" si="11"/>
        <v>0</v>
      </c>
      <c r="O25" s="183">
        <f t="shared" si="11"/>
        <v>0</v>
      </c>
      <c r="P25" s="543"/>
    </row>
    <row r="26" spans="1:16" ht="13.5" thickTop="1" thickBot="1">
      <c r="A26" s="862"/>
      <c r="B26" s="186" t="s">
        <v>46</v>
      </c>
      <c r="C26" s="187" t="s">
        <v>192</v>
      </c>
      <c r="D26" s="183">
        <f t="shared" si="8"/>
        <v>20370</v>
      </c>
      <c r="E26" s="188">
        <f t="shared" si="10"/>
        <v>0</v>
      </c>
      <c r="F26" s="188">
        <f t="shared" si="10"/>
        <v>20370</v>
      </c>
      <c r="G26" s="188">
        <f t="shared" si="10"/>
        <v>0</v>
      </c>
      <c r="H26" s="188">
        <f t="shared" si="10"/>
        <v>0</v>
      </c>
      <c r="I26" s="188">
        <f t="shared" si="10"/>
        <v>0</v>
      </c>
      <c r="J26" s="183">
        <f t="shared" si="9"/>
        <v>6144.2989999999991</v>
      </c>
      <c r="K26" s="188">
        <f t="shared" si="11"/>
        <v>0</v>
      </c>
      <c r="L26" s="188">
        <f t="shared" si="11"/>
        <v>6144.2989999999991</v>
      </c>
      <c r="M26" s="188">
        <f t="shared" si="11"/>
        <v>0</v>
      </c>
      <c r="N26" s="188">
        <f t="shared" si="11"/>
        <v>0</v>
      </c>
      <c r="O26" s="188">
        <f t="shared" si="11"/>
        <v>0</v>
      </c>
      <c r="P26" s="544"/>
    </row>
    <row r="27" spans="1:16" ht="13.5" thickTop="1" thickBot="1">
      <c r="A27" s="862"/>
      <c r="B27" s="186" t="s">
        <v>47</v>
      </c>
      <c r="C27" s="187" t="s">
        <v>191</v>
      </c>
      <c r="D27" s="183">
        <f t="shared" si="8"/>
        <v>-4790</v>
      </c>
      <c r="E27" s="188">
        <f t="shared" si="10"/>
        <v>0</v>
      </c>
      <c r="F27" s="188">
        <f t="shared" si="10"/>
        <v>-4200</v>
      </c>
      <c r="G27" s="188">
        <f t="shared" si="10"/>
        <v>-590</v>
      </c>
      <c r="H27" s="188">
        <f t="shared" si="10"/>
        <v>0</v>
      </c>
      <c r="I27" s="188">
        <f t="shared" si="10"/>
        <v>0</v>
      </c>
      <c r="J27" s="183">
        <f t="shared" si="9"/>
        <v>-5126.6219999999994</v>
      </c>
      <c r="K27" s="188">
        <f t="shared" si="11"/>
        <v>0</v>
      </c>
      <c r="L27" s="188">
        <f t="shared" si="11"/>
        <v>-4611.3539999999994</v>
      </c>
      <c r="M27" s="188">
        <f t="shared" si="11"/>
        <v>-515.26800000000003</v>
      </c>
      <c r="N27" s="188">
        <f t="shared" si="11"/>
        <v>0</v>
      </c>
      <c r="O27" s="188">
        <f t="shared" si="11"/>
        <v>0</v>
      </c>
      <c r="P27" s="544"/>
    </row>
    <row r="28" spans="1:16" ht="13.5" thickTop="1" thickBot="1">
      <c r="A28" s="862"/>
      <c r="B28" s="182" t="s">
        <v>48</v>
      </c>
      <c r="C28" s="182" t="s">
        <v>49</v>
      </c>
      <c r="D28" s="183">
        <f t="shared" si="8"/>
        <v>533635</v>
      </c>
      <c r="E28" s="183">
        <f t="shared" si="10"/>
        <v>0</v>
      </c>
      <c r="F28" s="183">
        <f t="shared" si="10"/>
        <v>429975</v>
      </c>
      <c r="G28" s="183">
        <f t="shared" si="10"/>
        <v>95060</v>
      </c>
      <c r="H28" s="183">
        <f t="shared" si="10"/>
        <v>8600</v>
      </c>
      <c r="I28" s="183">
        <f t="shared" si="10"/>
        <v>0</v>
      </c>
      <c r="J28" s="183">
        <f t="shared" si="9"/>
        <v>634343.36300000001</v>
      </c>
      <c r="K28" s="183">
        <f t="shared" si="11"/>
        <v>0</v>
      </c>
      <c r="L28" s="183">
        <f t="shared" si="11"/>
        <v>553103.56500000006</v>
      </c>
      <c r="M28" s="183">
        <f t="shared" si="11"/>
        <v>73108.603000000003</v>
      </c>
      <c r="N28" s="183">
        <f t="shared" si="11"/>
        <v>8131.1949999999997</v>
      </c>
      <c r="O28" s="183">
        <f t="shared" si="11"/>
        <v>0</v>
      </c>
      <c r="P28" s="543"/>
    </row>
    <row r="29" spans="1:16" ht="13.5" thickTop="1" thickBot="1">
      <c r="A29" s="862"/>
      <c r="B29" s="182" t="s">
        <v>50</v>
      </c>
      <c r="C29" s="182" t="s">
        <v>25</v>
      </c>
      <c r="D29" s="183">
        <f t="shared" si="8"/>
        <v>2800</v>
      </c>
      <c r="E29" s="183">
        <f>E14</f>
        <v>0</v>
      </c>
      <c r="F29" s="183">
        <f>F14</f>
        <v>0</v>
      </c>
      <c r="G29" s="183">
        <f>G14</f>
        <v>2800</v>
      </c>
      <c r="H29" s="183">
        <f>H14</f>
        <v>0</v>
      </c>
      <c r="I29" s="183">
        <f>I14</f>
        <v>0</v>
      </c>
      <c r="J29" s="183">
        <f t="shared" si="9"/>
        <v>0</v>
      </c>
      <c r="K29" s="183">
        <f>K14</f>
        <v>0</v>
      </c>
      <c r="L29" s="183">
        <f>L14</f>
        <v>0</v>
      </c>
      <c r="M29" s="183">
        <f>M14</f>
        <v>0</v>
      </c>
      <c r="N29" s="183">
        <f>N14</f>
        <v>0</v>
      </c>
      <c r="O29" s="183">
        <f>O14</f>
        <v>0</v>
      </c>
      <c r="P29" s="543"/>
    </row>
    <row r="30" spans="1:16" ht="13.5" thickTop="1" thickBot="1">
      <c r="A30" s="862" t="s">
        <v>51</v>
      </c>
      <c r="B30" s="179" t="s">
        <v>52</v>
      </c>
      <c r="C30" s="179" t="s">
        <v>53</v>
      </c>
      <c r="D30" s="180">
        <f>SUM(F30:I30)</f>
        <v>1057958</v>
      </c>
      <c r="E30" s="194"/>
      <c r="F30" s="194">
        <f>SUM(F31:F33)</f>
        <v>0</v>
      </c>
      <c r="G30" s="194">
        <f>SUM(G31:G33)</f>
        <v>133308</v>
      </c>
      <c r="H30" s="194">
        <f>SUM(H31:H33)</f>
        <v>561240</v>
      </c>
      <c r="I30" s="194">
        <f>SUM(I31:I33)</f>
        <v>363410</v>
      </c>
      <c r="J30" s="180">
        <f>SUM(L30:O30)</f>
        <v>1031317.4422</v>
      </c>
      <c r="K30" s="180"/>
      <c r="L30" s="180">
        <f>SUM(L31:L33)</f>
        <v>0</v>
      </c>
      <c r="M30" s="180">
        <f>SUM(M31:M33)</f>
        <v>121748.9402</v>
      </c>
      <c r="N30" s="180">
        <f>SUM(N31:N33)</f>
        <v>546459.70500000007</v>
      </c>
      <c r="O30" s="180">
        <f>SUM(O31:O33)</f>
        <v>363108.79700000002</v>
      </c>
      <c r="P30" s="545"/>
    </row>
    <row r="31" spans="1:16" ht="13.5" thickTop="1" thickBot="1">
      <c r="A31" s="862"/>
      <c r="B31" s="182" t="s">
        <v>54</v>
      </c>
      <c r="C31" s="182" t="s">
        <v>55</v>
      </c>
      <c r="D31" s="183">
        <f t="shared" ref="D31:D43" si="12">SUM(E31:I31)</f>
        <v>444360</v>
      </c>
      <c r="E31" s="195"/>
      <c r="F31" s="235">
        <f>январь!F31+февраль!F31+март!F31</f>
        <v>0</v>
      </c>
      <c r="G31" s="184">
        <f>апрель!G31+май!G31+июнь!G31</f>
        <v>133308</v>
      </c>
      <c r="H31" s="184">
        <f>апрель!H31+май!H31+июнь!H31</f>
        <v>311052</v>
      </c>
      <c r="I31" s="195"/>
      <c r="J31" s="183">
        <f t="shared" ref="J31:J43" si="13">SUM(K31:O31)</f>
        <v>452308.49200000003</v>
      </c>
      <c r="K31" s="195"/>
      <c r="L31" s="196"/>
      <c r="M31" s="183">
        <f>L36</f>
        <v>121748.9402</v>
      </c>
      <c r="N31" s="183">
        <f>L37</f>
        <v>330559.55180000002</v>
      </c>
      <c r="O31" s="195"/>
      <c r="P31" s="546"/>
    </row>
    <row r="32" spans="1:16" ht="13.5" thickTop="1" thickBot="1">
      <c r="A32" s="862"/>
      <c r="B32" s="182" t="s">
        <v>56</v>
      </c>
      <c r="C32" s="182" t="s">
        <v>57</v>
      </c>
      <c r="D32" s="183">
        <f t="shared" si="12"/>
        <v>250188</v>
      </c>
      <c r="E32" s="195"/>
      <c r="F32" s="195"/>
      <c r="G32" s="195"/>
      <c r="H32" s="184">
        <f>апрель!H32+май!H32+июнь!H32</f>
        <v>250188</v>
      </c>
      <c r="I32" s="235"/>
      <c r="J32" s="183">
        <f t="shared" si="13"/>
        <v>215900.1532</v>
      </c>
      <c r="K32" s="195"/>
      <c r="L32" s="195"/>
      <c r="M32" s="195"/>
      <c r="N32" s="183">
        <f>M37</f>
        <v>215900.1532</v>
      </c>
      <c r="O32" s="196">
        <f>M43</f>
        <v>0</v>
      </c>
      <c r="P32" s="547"/>
    </row>
    <row r="33" spans="1:20" ht="13.5" thickTop="1" thickBot="1">
      <c r="A33" s="862"/>
      <c r="B33" s="182" t="s">
        <v>58</v>
      </c>
      <c r="C33" s="182" t="s">
        <v>59</v>
      </c>
      <c r="D33" s="183">
        <f t="shared" si="12"/>
        <v>363410</v>
      </c>
      <c r="E33" s="195"/>
      <c r="F33" s="195"/>
      <c r="G33" s="195"/>
      <c r="H33" s="195"/>
      <c r="I33" s="184">
        <f>апрель!I33+май!I33+июнь!I33</f>
        <v>363410</v>
      </c>
      <c r="J33" s="183">
        <f t="shared" si="13"/>
        <v>363108.79700000002</v>
      </c>
      <c r="K33" s="195"/>
      <c r="L33" s="195"/>
      <c r="M33" s="195"/>
      <c r="N33" s="195"/>
      <c r="O33" s="183">
        <f>M38+N38</f>
        <v>363108.79700000002</v>
      </c>
      <c r="P33" s="543"/>
    </row>
    <row r="34" spans="1:20" ht="13.5" thickTop="1" thickBot="1">
      <c r="A34" s="862"/>
      <c r="B34" s="179" t="s">
        <v>60</v>
      </c>
      <c r="C34" s="179" t="s">
        <v>61</v>
      </c>
      <c r="D34" s="180">
        <f t="shared" si="12"/>
        <v>1057958</v>
      </c>
      <c r="E34" s="194"/>
      <c r="F34" s="194">
        <f>SUM(F35:F38)</f>
        <v>444360</v>
      </c>
      <c r="G34" s="194">
        <f>SUM(G35:G38)</f>
        <v>250188</v>
      </c>
      <c r="H34" s="194">
        <f>SUM(H35:H38)</f>
        <v>363410</v>
      </c>
      <c r="I34" s="197">
        <f>SUM(I35:I38)</f>
        <v>0</v>
      </c>
      <c r="J34" s="180">
        <f t="shared" si="13"/>
        <v>1031317.4422</v>
      </c>
      <c r="K34" s="180"/>
      <c r="L34" s="180">
        <f>SUM(L35:L38)</f>
        <v>452308.49200000003</v>
      </c>
      <c r="M34" s="180">
        <f>SUM(M35:M38)</f>
        <v>215900.1532</v>
      </c>
      <c r="N34" s="180">
        <f>SUM(N35:N38)</f>
        <v>363108.79700000002</v>
      </c>
      <c r="O34" s="181">
        <f>SUM(O35:O38)</f>
        <v>0</v>
      </c>
      <c r="P34" s="537"/>
    </row>
    <row r="35" spans="1:20" ht="13.5" thickTop="1" thickBot="1">
      <c r="A35" s="862"/>
      <c r="B35" s="182" t="s">
        <v>62</v>
      </c>
      <c r="C35" s="182" t="s">
        <v>63</v>
      </c>
      <c r="D35" s="183">
        <f t="shared" si="12"/>
        <v>0</v>
      </c>
      <c r="E35" s="196"/>
      <c r="F35" s="195"/>
      <c r="G35" s="195"/>
      <c r="H35" s="195"/>
      <c r="I35" s="195"/>
      <c r="J35" s="183">
        <f t="shared" si="13"/>
        <v>0</v>
      </c>
      <c r="K35" s="196"/>
      <c r="L35" s="195"/>
      <c r="M35" s="195"/>
      <c r="N35" s="195"/>
      <c r="O35" s="195"/>
      <c r="P35" s="546"/>
    </row>
    <row r="36" spans="1:20" ht="13.5" thickTop="1" thickBot="1">
      <c r="A36" s="862"/>
      <c r="B36" s="182" t="s">
        <v>64</v>
      </c>
      <c r="C36" s="182" t="s">
        <v>65</v>
      </c>
      <c r="D36" s="183">
        <f t="shared" si="12"/>
        <v>133308</v>
      </c>
      <c r="E36" s="183"/>
      <c r="F36" s="185">
        <f>G31</f>
        <v>133308</v>
      </c>
      <c r="G36" s="195"/>
      <c r="H36" s="195"/>
      <c r="I36" s="195"/>
      <c r="J36" s="183">
        <f t="shared" si="13"/>
        <v>121748.9402</v>
      </c>
      <c r="K36" s="183"/>
      <c r="L36" s="184">
        <f>апрель!L36+май!L36+июнь!L36</f>
        <v>121748.9402</v>
      </c>
      <c r="M36" s="195"/>
      <c r="N36" s="195"/>
      <c r="O36" s="195"/>
      <c r="P36" s="546"/>
    </row>
    <row r="37" spans="1:20" ht="13.5" thickTop="1" thickBot="1">
      <c r="A37" s="862"/>
      <c r="B37" s="182" t="s">
        <v>66</v>
      </c>
      <c r="C37" s="182" t="s">
        <v>67</v>
      </c>
      <c r="D37" s="183">
        <f t="shared" si="12"/>
        <v>561240</v>
      </c>
      <c r="E37" s="183"/>
      <c r="F37" s="185">
        <f>H31</f>
        <v>311052</v>
      </c>
      <c r="G37" s="185">
        <f>H32</f>
        <v>250188</v>
      </c>
      <c r="H37" s="195"/>
      <c r="I37" s="195"/>
      <c r="J37" s="183">
        <f t="shared" si="13"/>
        <v>546459.70500000007</v>
      </c>
      <c r="K37" s="183"/>
      <c r="L37" s="184">
        <f>апрель!L37+май!L37+июнь!L37</f>
        <v>330559.55180000002</v>
      </c>
      <c r="M37" s="184">
        <f>апрель!M37+май!M37+июнь!M37</f>
        <v>215900.1532</v>
      </c>
      <c r="N37" s="195"/>
      <c r="O37" s="195"/>
      <c r="P37" s="546"/>
    </row>
    <row r="38" spans="1:20" ht="13.5" thickTop="1" thickBot="1">
      <c r="A38" s="862"/>
      <c r="B38" s="182" t="s">
        <v>68</v>
      </c>
      <c r="C38" s="182" t="s">
        <v>69</v>
      </c>
      <c r="D38" s="183">
        <f t="shared" si="12"/>
        <v>363410</v>
      </c>
      <c r="E38" s="195"/>
      <c r="F38" s="195"/>
      <c r="G38" s="196"/>
      <c r="H38" s="185">
        <f>I33</f>
        <v>363410</v>
      </c>
      <c r="I38" s="195"/>
      <c r="J38" s="183">
        <f t="shared" si="13"/>
        <v>363108.79700000002</v>
      </c>
      <c r="K38" s="195"/>
      <c r="L38" s="195"/>
      <c r="M38" s="196"/>
      <c r="N38" s="184">
        <f>апрель!N38+май!N38+июнь!N38</f>
        <v>363108.79700000002</v>
      </c>
      <c r="O38" s="195"/>
      <c r="P38" s="546"/>
    </row>
    <row r="39" spans="1:20" s="17" customFormat="1" ht="13.5" thickTop="1" thickBot="1">
      <c r="A39" s="862"/>
      <c r="B39" s="232" t="s">
        <v>70</v>
      </c>
      <c r="C39" s="232" t="s">
        <v>71</v>
      </c>
      <c r="D39" s="192">
        <f t="shared" si="12"/>
        <v>0</v>
      </c>
      <c r="E39" s="192"/>
      <c r="F39" s="192">
        <f>SUM(F40:F43)</f>
        <v>-444360</v>
      </c>
      <c r="G39" s="192">
        <f>SUM(G40:G43)</f>
        <v>-116880</v>
      </c>
      <c r="H39" s="192">
        <f>SUM(H40:H43)</f>
        <v>197830</v>
      </c>
      <c r="I39" s="192">
        <f>SUM(I40:I43)</f>
        <v>363410</v>
      </c>
      <c r="J39" s="192">
        <f t="shared" si="13"/>
        <v>0</v>
      </c>
      <c r="K39" s="192"/>
      <c r="L39" s="192">
        <f>SUM(L40:L43)</f>
        <v>-452308.49200000003</v>
      </c>
      <c r="M39" s="192">
        <f>SUM(M40:M43)</f>
        <v>-94151.213000000003</v>
      </c>
      <c r="N39" s="192">
        <f>SUM(N40:N43)</f>
        <v>183350.90800000005</v>
      </c>
      <c r="O39" s="192">
        <f>SUM(O40:O43)</f>
        <v>363108.79700000002</v>
      </c>
      <c r="P39" s="548"/>
    </row>
    <row r="40" spans="1:20" ht="13.5" thickTop="1" thickBot="1">
      <c r="A40" s="862"/>
      <c r="B40" s="182" t="s">
        <v>72</v>
      </c>
      <c r="C40" s="182" t="s">
        <v>5</v>
      </c>
      <c r="D40" s="183">
        <f t="shared" si="12"/>
        <v>444360</v>
      </c>
      <c r="E40" s="196"/>
      <c r="F40" s="196">
        <f>F31-F35</f>
        <v>0</v>
      </c>
      <c r="G40" s="196">
        <f>G31-G35</f>
        <v>133308</v>
      </c>
      <c r="H40" s="196">
        <f>H31-H35</f>
        <v>311052</v>
      </c>
      <c r="I40" s="195"/>
      <c r="J40" s="183">
        <f t="shared" si="13"/>
        <v>452308.49200000003</v>
      </c>
      <c r="K40" s="196"/>
      <c r="L40" s="196">
        <f>L31-L35</f>
        <v>0</v>
      </c>
      <c r="M40" s="196">
        <f>M31-M35</f>
        <v>121748.9402</v>
      </c>
      <c r="N40" s="196">
        <f>N31-N35</f>
        <v>330559.55180000002</v>
      </c>
      <c r="O40" s="195"/>
      <c r="P40" s="546"/>
    </row>
    <row r="41" spans="1:20" ht="13.5" thickTop="1" thickBot="1">
      <c r="A41" s="862"/>
      <c r="B41" s="182" t="s">
        <v>73</v>
      </c>
      <c r="C41" s="182" t="s">
        <v>74</v>
      </c>
      <c r="D41" s="183">
        <f t="shared" si="12"/>
        <v>116880</v>
      </c>
      <c r="E41" s="196">
        <f>E32-E36</f>
        <v>0</v>
      </c>
      <c r="F41" s="196">
        <f>F32-F36</f>
        <v>-133308</v>
      </c>
      <c r="G41" s="195"/>
      <c r="H41" s="196">
        <f>H32-H36</f>
        <v>250188</v>
      </c>
      <c r="I41" s="195"/>
      <c r="J41" s="183">
        <f t="shared" si="13"/>
        <v>94151.213000000003</v>
      </c>
      <c r="K41" s="196">
        <f>K32-K36</f>
        <v>0</v>
      </c>
      <c r="L41" s="196">
        <f>L32-L36</f>
        <v>-121748.9402</v>
      </c>
      <c r="M41" s="195"/>
      <c r="N41" s="196">
        <f>N32-N36</f>
        <v>215900.1532</v>
      </c>
      <c r="O41" s="195"/>
      <c r="P41" s="546"/>
    </row>
    <row r="42" spans="1:20" ht="13.5" thickTop="1" thickBot="1">
      <c r="A42" s="862"/>
      <c r="B42" s="182" t="s">
        <v>75</v>
      </c>
      <c r="C42" s="182" t="s">
        <v>76</v>
      </c>
      <c r="D42" s="183">
        <f t="shared" si="12"/>
        <v>-197830</v>
      </c>
      <c r="E42" s="196">
        <f>E33-E37</f>
        <v>0</v>
      </c>
      <c r="F42" s="196">
        <f>F33-F37</f>
        <v>-311052</v>
      </c>
      <c r="G42" s="196">
        <f>G33-G37</f>
        <v>-250188</v>
      </c>
      <c r="H42" s="195"/>
      <c r="I42" s="196">
        <f>I33-I37</f>
        <v>363410</v>
      </c>
      <c r="J42" s="183">
        <f t="shared" si="13"/>
        <v>-183350.90800000005</v>
      </c>
      <c r="K42" s="196">
        <f>K33-K37</f>
        <v>0</v>
      </c>
      <c r="L42" s="196">
        <f>L33-L37</f>
        <v>-330559.55180000002</v>
      </c>
      <c r="M42" s="196">
        <f>M33-M37</f>
        <v>-215900.1532</v>
      </c>
      <c r="N42" s="195"/>
      <c r="O42" s="196">
        <f>O33-O37</f>
        <v>363108.79700000002</v>
      </c>
      <c r="P42" s="547"/>
    </row>
    <row r="43" spans="1:20" ht="13.5" thickTop="1" thickBot="1">
      <c r="A43" s="862"/>
      <c r="B43" s="199" t="s">
        <v>77</v>
      </c>
      <c r="C43" s="199" t="s">
        <v>8</v>
      </c>
      <c r="D43" s="196">
        <f t="shared" si="12"/>
        <v>-363410</v>
      </c>
      <c r="E43" s="195"/>
      <c r="F43" s="195"/>
      <c r="G43" s="196"/>
      <c r="H43" s="196">
        <f>-H38</f>
        <v>-363410</v>
      </c>
      <c r="I43" s="195"/>
      <c r="J43" s="196">
        <f t="shared" si="13"/>
        <v>-363108.79700000002</v>
      </c>
      <c r="K43" s="195"/>
      <c r="L43" s="195"/>
      <c r="M43" s="196"/>
      <c r="N43" s="196">
        <f>-N38</f>
        <v>-363108.79700000002</v>
      </c>
      <c r="O43" s="195"/>
      <c r="P43" s="546"/>
    </row>
    <row r="44" spans="1:20" ht="13.5" thickTop="1" thickBot="1">
      <c r="A44" s="177"/>
      <c r="B44" s="200" t="s">
        <v>78</v>
      </c>
      <c r="C44" s="200" t="s">
        <v>79</v>
      </c>
      <c r="D44" s="201">
        <f>D22</f>
        <v>879030</v>
      </c>
      <c r="E44" s="201">
        <f>E22+E30</f>
        <v>0</v>
      </c>
      <c r="F44" s="201">
        <f>F22+F30</f>
        <v>675030</v>
      </c>
      <c r="G44" s="201">
        <f>G22+G30</f>
        <v>263228</v>
      </c>
      <c r="H44" s="201">
        <f>H22+H30</f>
        <v>635310</v>
      </c>
      <c r="I44" s="201">
        <f>I22+I30</f>
        <v>363420</v>
      </c>
      <c r="J44" s="201">
        <f>J22</f>
        <v>845161.1660000002</v>
      </c>
      <c r="K44" s="201">
        <f>K22+K30</f>
        <v>0</v>
      </c>
      <c r="L44" s="201">
        <f>L22+L30</f>
        <v>665569.5120000001</v>
      </c>
      <c r="M44" s="201">
        <f>M22+M30</f>
        <v>227321.2182</v>
      </c>
      <c r="N44" s="201">
        <f>N22+N30</f>
        <v>620476.60100000002</v>
      </c>
      <c r="O44" s="201">
        <f>O22+O30</f>
        <v>363111.277</v>
      </c>
      <c r="P44" s="549"/>
    </row>
    <row r="45" spans="1:20" ht="13.5" thickTop="1" thickBot="1">
      <c r="A45" s="177"/>
      <c r="B45" s="202" t="s">
        <v>80</v>
      </c>
      <c r="C45" s="202" t="s">
        <v>81</v>
      </c>
      <c r="D45" s="203">
        <f>D44</f>
        <v>879030</v>
      </c>
      <c r="E45" s="203">
        <f>E143+E151+E34</f>
        <v>0</v>
      </c>
      <c r="F45" s="203">
        <f>F143+F151+F34-G49-H49-G73-H73-G78-H78-H54-H97-H109-G97-G102-H102-G109-G114-H114-G121-H121-G126-H126-G133-H133</f>
        <v>675030</v>
      </c>
      <c r="G45" s="203">
        <f>G143+G151+G34-H50-I50-H55-I55-H62-I62-H67-I67-H98-H74-H79-H86-H91-H103-H110-H115-H122-H127-H134</f>
        <v>258675.7</v>
      </c>
      <c r="H45" s="203">
        <f>H143+H151+H34-I51-I56-I63-I68-I75-I80-I87-I92-I99-I104-I111-I116-I123-I128</f>
        <v>583093.69999999995</v>
      </c>
      <c r="I45" s="203">
        <f>I151+I143</f>
        <v>361255.7</v>
      </c>
      <c r="J45" s="203">
        <f>J44</f>
        <v>845161.1660000002</v>
      </c>
      <c r="K45" s="203">
        <f>K143+K151+K34</f>
        <v>0</v>
      </c>
      <c r="L45" s="203">
        <f>L143+L151+L34-M49-N49-M73-N73-M78-N78-N54-N97-N109-M97-M102-N102-M109-M114-N114-M121-N121-M126-N126-M133-N133</f>
        <v>665569.5120000001</v>
      </c>
      <c r="M45" s="203">
        <f>M143+M151+M34-N50-O50-N55-O55-N62-O62-N67-O67-N98-N74-N79-N86-N91-N103-N110-N115-N122-N127-N134</f>
        <v>223093.51120000004</v>
      </c>
      <c r="N45" s="203">
        <f>N143+N151+N34-O51-O56-O63-O68-O75-O80-O87-O92-O99-O104-O111-O116-O123-O128</f>
        <v>582195.804</v>
      </c>
      <c r="O45" s="203">
        <f>O151+O143</f>
        <v>359951.56400000001</v>
      </c>
      <c r="P45" s="550"/>
      <c r="Q45" s="321"/>
    </row>
    <row r="46" spans="1:20" ht="13.5" thickTop="1" thickBot="1">
      <c r="A46" s="862" t="s">
        <v>82</v>
      </c>
      <c r="B46" s="179" t="s">
        <v>83</v>
      </c>
      <c r="C46" s="179" t="s">
        <v>84</v>
      </c>
      <c r="D46" s="181">
        <f>SUM(E46:I46)</f>
        <v>770220</v>
      </c>
      <c r="E46" s="322">
        <f>E47+E59+E71+E83+E95</f>
        <v>0</v>
      </c>
      <c r="F46" s="322">
        <f>F47+F59+F71+F83+F95+F107+F119+F131</f>
        <v>214210</v>
      </c>
      <c r="G46" s="322">
        <f>G47+G59+G71+G83+G95+G107+G119+G131</f>
        <v>6470</v>
      </c>
      <c r="H46" s="322">
        <f>H47+H59+H71+H83+H95+H107+H119+H131</f>
        <v>235380</v>
      </c>
      <c r="I46" s="322">
        <f>I47+I59+I71+I83+I95+I107+I119+I131</f>
        <v>314160</v>
      </c>
      <c r="J46" s="181">
        <f>SUM(K46:O46)</f>
        <v>713282.26199999999</v>
      </c>
      <c r="K46" s="322">
        <f>K47+K59+K71+K83+K95</f>
        <v>0</v>
      </c>
      <c r="L46" s="322">
        <f>L47+L59+L71+L83+L95+L107+L119+L131</f>
        <v>197185.06599999999</v>
      </c>
      <c r="M46" s="322">
        <f>M47+M59+M71+M83+M95+M107+M119+M131</f>
        <v>5911.6550000000007</v>
      </c>
      <c r="N46" s="322">
        <f>N47+N59+N71+N83+N95+N107+N119+N131</f>
        <v>222048.13200000001</v>
      </c>
      <c r="O46" s="322">
        <f>O47+O59+O71+O83+O95+O107+O119+O131</f>
        <v>288137.40899999999</v>
      </c>
      <c r="P46" s="83"/>
      <c r="Q46" s="321"/>
      <c r="R46" s="83"/>
      <c r="S46" s="83"/>
      <c r="T46" s="83"/>
    </row>
    <row r="47" spans="1:20" s="3" customFormat="1" ht="13.5" thickTop="1" thickBot="1">
      <c r="A47" s="862"/>
      <c r="B47" s="270" t="s">
        <v>85</v>
      </c>
      <c r="C47" s="271" t="s">
        <v>86</v>
      </c>
      <c r="D47" s="581">
        <f t="shared" ref="D47:D147" si="14">SUM(E47:I47)</f>
        <v>534310</v>
      </c>
      <c r="E47" s="338">
        <f>апрель!E47+май!E47+июнь!E47</f>
        <v>0</v>
      </c>
      <c r="F47" s="338">
        <f>апрель!F47+май!F47+июнь!F47</f>
        <v>3250</v>
      </c>
      <c r="G47" s="338">
        <f>апрель!G47+май!G47+июнь!G47</f>
        <v>2400</v>
      </c>
      <c r="H47" s="338">
        <f>апрель!H47+май!H47+июнь!H47</f>
        <v>215990</v>
      </c>
      <c r="I47" s="338">
        <f>апрель!I47+май!I47+июнь!I47</f>
        <v>312670</v>
      </c>
      <c r="J47" s="206">
        <f t="shared" ref="J47:J147" si="15">SUM(K47:O47)</f>
        <v>499645.44</v>
      </c>
      <c r="K47" s="334">
        <f>апрель!K47+май!K47+июнь!K47</f>
        <v>0</v>
      </c>
      <c r="L47" s="334">
        <f>апрель!L47+май!L47+июнь!L47</f>
        <v>8710.5739999999969</v>
      </c>
      <c r="M47" s="334">
        <f>апрель!M47+май!M47+июнь!M47</f>
        <v>1683.9480000000001</v>
      </c>
      <c r="N47" s="334">
        <f>апрель!N47+май!N47+июнь!N47</f>
        <v>209704.00400000002</v>
      </c>
      <c r="O47" s="334">
        <f>апрель!O47+май!O47+июнь!O47</f>
        <v>279546.91399999999</v>
      </c>
      <c r="P47" s="83"/>
      <c r="Q47" s="83"/>
      <c r="R47" s="83"/>
      <c r="S47" s="83"/>
      <c r="T47" s="83"/>
    </row>
    <row r="48" spans="1:20" ht="13.5" thickTop="1" thickBot="1">
      <c r="A48" s="862"/>
      <c r="B48" s="263" t="s">
        <v>87</v>
      </c>
      <c r="C48" s="263" t="s">
        <v>88</v>
      </c>
      <c r="D48" s="196">
        <f t="shared" si="14"/>
        <v>0</v>
      </c>
      <c r="E48" s="196"/>
      <c r="F48" s="196"/>
      <c r="G48" s="196"/>
      <c r="H48" s="196"/>
      <c r="I48" s="196"/>
      <c r="J48" s="196">
        <f t="shared" si="15"/>
        <v>31375.525000000001</v>
      </c>
      <c r="K48" s="196"/>
      <c r="L48" s="196"/>
      <c r="M48" s="196"/>
      <c r="N48" s="196">
        <f>SUM(N49:N51)</f>
        <v>31375.525000000001</v>
      </c>
      <c r="O48" s="196"/>
      <c r="P48" s="547"/>
    </row>
    <row r="49" spans="1:16" ht="13.5" thickTop="1" thickBot="1">
      <c r="A49" s="862"/>
      <c r="B49" s="275"/>
      <c r="C49" s="276" t="s">
        <v>89</v>
      </c>
      <c r="D49" s="209">
        <f t="shared" si="14"/>
        <v>28900</v>
      </c>
      <c r="E49" s="210"/>
      <c r="F49" s="210"/>
      <c r="G49" s="240"/>
      <c r="H49" s="184">
        <f>апрель!H49+май!H49+июнь!H49</f>
        <v>28900</v>
      </c>
      <c r="I49" s="210"/>
      <c r="J49" s="209">
        <f t="shared" si="15"/>
        <v>29470.524000000001</v>
      </c>
      <c r="K49" s="210"/>
      <c r="L49" s="210"/>
      <c r="M49" s="435"/>
      <c r="N49" s="334">
        <f>апрель!N49+май!N49+июнь!N49</f>
        <v>29470.524000000001</v>
      </c>
      <c r="O49" s="210"/>
      <c r="P49" s="551"/>
    </row>
    <row r="50" spans="1:16" ht="13.5" thickTop="1" thickBot="1">
      <c r="A50" s="862"/>
      <c r="B50" s="275"/>
      <c r="C50" s="276" t="s">
        <v>90</v>
      </c>
      <c r="D50" s="209">
        <f t="shared" si="14"/>
        <v>3100</v>
      </c>
      <c r="E50" s="210"/>
      <c r="F50" s="210"/>
      <c r="G50" s="210"/>
      <c r="H50" s="184">
        <f>апрель!H50+май!H50+июнь!H50</f>
        <v>3100</v>
      </c>
      <c r="I50" s="235"/>
      <c r="J50" s="209">
        <f t="shared" si="15"/>
        <v>1905.001</v>
      </c>
      <c r="K50" s="210"/>
      <c r="L50" s="210"/>
      <c r="M50" s="210"/>
      <c r="N50" s="334">
        <f>апрель!N50+май!N50+июнь!N50</f>
        <v>1905.001</v>
      </c>
      <c r="O50" s="440"/>
      <c r="P50" s="538"/>
    </row>
    <row r="51" spans="1:16" ht="13.5" thickTop="1" thickBot="1">
      <c r="A51" s="862"/>
      <c r="B51" s="275"/>
      <c r="C51" s="276" t="s">
        <v>91</v>
      </c>
      <c r="D51" s="209">
        <f t="shared" si="14"/>
        <v>0</v>
      </c>
      <c r="E51" s="210"/>
      <c r="F51" s="210"/>
      <c r="G51" s="210"/>
      <c r="H51" s="210"/>
      <c r="I51" s="240"/>
      <c r="J51" s="209">
        <f t="shared" si="15"/>
        <v>0</v>
      </c>
      <c r="K51" s="210"/>
      <c r="L51" s="210"/>
      <c r="M51" s="210"/>
      <c r="N51" s="210"/>
      <c r="O51" s="240"/>
      <c r="P51" s="552"/>
    </row>
    <row r="52" spans="1:16" ht="13.5" thickTop="1" thickBot="1">
      <c r="A52" s="862"/>
      <c r="B52" s="263" t="s">
        <v>92</v>
      </c>
      <c r="C52" s="263" t="s">
        <v>93</v>
      </c>
      <c r="D52" s="196">
        <f t="shared" si="14"/>
        <v>0</v>
      </c>
      <c r="E52" s="196"/>
      <c r="F52" s="184">
        <f>апрель!F52+май!F52+июнь!F52</f>
        <v>0</v>
      </c>
      <c r="G52" s="184">
        <f>апрель!G52+май!G52+июнь!G52</f>
        <v>0</v>
      </c>
      <c r="H52" s="184">
        <f>апрель!H52+май!H52+июнь!H52</f>
        <v>0</v>
      </c>
      <c r="I52" s="184">
        <f>апрель!I52+май!I52+июнь!I52</f>
        <v>0</v>
      </c>
      <c r="J52" s="196">
        <f t="shared" si="15"/>
        <v>0</v>
      </c>
      <c r="K52" s="196"/>
      <c r="L52" s="184">
        <f>апрель!L52+май!L52+июнь!L52</f>
        <v>0</v>
      </c>
      <c r="M52" s="184">
        <f>апрель!M52+май!M52+июнь!M52</f>
        <v>0</v>
      </c>
      <c r="N52" s="184">
        <f>апрель!N52+май!N52+июнь!N52</f>
        <v>0</v>
      </c>
      <c r="O52" s="184">
        <f>апрель!O52+май!O52+июнь!O52</f>
        <v>0</v>
      </c>
      <c r="P52" s="539"/>
    </row>
    <row r="53" spans="1:16" ht="13.5" thickTop="1" thickBot="1">
      <c r="A53" s="862"/>
      <c r="B53" s="263" t="s">
        <v>94</v>
      </c>
      <c r="C53" s="263" t="s">
        <v>95</v>
      </c>
      <c r="D53" s="213">
        <f t="shared" si="14"/>
        <v>49040</v>
      </c>
      <c r="E53" s="240"/>
      <c r="F53" s="212"/>
      <c r="G53" s="184">
        <f>апрель!G53+май!G53+июнь!G53</f>
        <v>1526</v>
      </c>
      <c r="H53" s="184">
        <f>апрель!H53+май!H53+июнь!H53</f>
        <v>47514</v>
      </c>
      <c r="I53" s="196"/>
      <c r="J53" s="213">
        <f t="shared" si="15"/>
        <v>51215.448000000004</v>
      </c>
      <c r="K53" s="240"/>
      <c r="L53" s="212"/>
      <c r="M53" s="184">
        <f>апрель!M53+май!M53+июнь!M53</f>
        <v>1683.9480000000001</v>
      </c>
      <c r="N53" s="184">
        <f>апрель!N53+май!N53+июнь!N53</f>
        <v>49510.183000000005</v>
      </c>
      <c r="O53" s="184">
        <f>апрель!O53+май!O53+июнь!O53</f>
        <v>21.317</v>
      </c>
      <c r="P53" s="539"/>
    </row>
    <row r="54" spans="1:16" ht="13.5" thickTop="1" thickBot="1">
      <c r="A54" s="862"/>
      <c r="B54" s="275"/>
      <c r="C54" s="276" t="s">
        <v>89</v>
      </c>
      <c r="D54" s="209">
        <f t="shared" si="14"/>
        <v>3000</v>
      </c>
      <c r="E54" s="210"/>
      <c r="F54" s="210"/>
      <c r="G54" s="240"/>
      <c r="H54" s="184">
        <f>апрель!H54+май!H54+июнь!H54</f>
        <v>3000</v>
      </c>
      <c r="I54" s="210"/>
      <c r="J54" s="209">
        <f t="shared" si="15"/>
        <v>16700.308000000001</v>
      </c>
      <c r="K54" s="210"/>
      <c r="L54" s="210"/>
      <c r="M54" s="240"/>
      <c r="N54" s="184">
        <f>апрель!N54+май!N54+июнь!N54</f>
        <v>16700.308000000001</v>
      </c>
      <c r="O54" s="210"/>
      <c r="P54" s="551"/>
    </row>
    <row r="55" spans="1:16" ht="13.5" thickTop="1" thickBot="1">
      <c r="A55" s="862"/>
      <c r="B55" s="275"/>
      <c r="C55" s="276" t="s">
        <v>90</v>
      </c>
      <c r="D55" s="209">
        <f t="shared" si="14"/>
        <v>0</v>
      </c>
      <c r="E55" s="210"/>
      <c r="F55" s="210"/>
      <c r="G55" s="210"/>
      <c r="H55" s="235"/>
      <c r="I55" s="235"/>
      <c r="J55" s="209">
        <f t="shared" si="15"/>
        <v>0</v>
      </c>
      <c r="K55" s="210"/>
      <c r="L55" s="210"/>
      <c r="M55" s="210"/>
      <c r="N55" s="235"/>
      <c r="O55" s="235"/>
      <c r="P55" s="538"/>
    </row>
    <row r="56" spans="1:16" ht="13.5" thickTop="1" thickBot="1">
      <c r="A56" s="862"/>
      <c r="B56" s="275"/>
      <c r="C56" s="276" t="s">
        <v>91</v>
      </c>
      <c r="D56" s="209">
        <f t="shared" si="14"/>
        <v>0</v>
      </c>
      <c r="E56" s="210"/>
      <c r="F56" s="210"/>
      <c r="G56" s="210"/>
      <c r="H56" s="210"/>
      <c r="I56" s="235"/>
      <c r="J56" s="209">
        <f t="shared" si="15"/>
        <v>0</v>
      </c>
      <c r="K56" s="210"/>
      <c r="L56" s="210"/>
      <c r="M56" s="210"/>
      <c r="N56" s="210"/>
      <c r="O56" s="235"/>
      <c r="P56" s="538"/>
    </row>
    <row r="57" spans="1:16" ht="13.5" thickTop="1" thickBot="1">
      <c r="A57" s="862"/>
      <c r="B57" s="263" t="s">
        <v>96</v>
      </c>
      <c r="C57" s="263" t="s">
        <v>97</v>
      </c>
      <c r="D57" s="196">
        <f t="shared" si="14"/>
        <v>862</v>
      </c>
      <c r="E57" s="196"/>
      <c r="F57" s="196"/>
      <c r="G57" s="196"/>
      <c r="H57" s="184">
        <f>апрель!H57+май!H57+июнь!H57</f>
        <v>862</v>
      </c>
      <c r="I57" s="196"/>
      <c r="J57" s="196">
        <f t="shared" si="15"/>
        <v>756.21159499999999</v>
      </c>
      <c r="K57" s="196"/>
      <c r="L57" s="196"/>
      <c r="M57" s="196"/>
      <c r="N57" s="184">
        <f>апрель!N57+май!N57+июнь!N57</f>
        <v>756.21159499999999</v>
      </c>
      <c r="O57" s="196"/>
      <c r="P57" s="547"/>
    </row>
    <row r="58" spans="1:16" ht="13.5" thickTop="1" thickBot="1">
      <c r="A58" s="862"/>
      <c r="B58" s="263" t="s">
        <v>98</v>
      </c>
      <c r="C58" s="263" t="s">
        <v>99</v>
      </c>
      <c r="D58" s="196">
        <f t="shared" si="14"/>
        <v>0</v>
      </c>
      <c r="E58" s="196"/>
      <c r="F58" s="196"/>
      <c r="G58" s="196"/>
      <c r="H58" s="235"/>
      <c r="I58" s="196"/>
      <c r="J58" s="196">
        <f t="shared" si="15"/>
        <v>0</v>
      </c>
      <c r="K58" s="196"/>
      <c r="L58" s="196"/>
      <c r="M58" s="196"/>
      <c r="N58" s="184"/>
      <c r="O58" s="196"/>
      <c r="P58" s="547"/>
    </row>
    <row r="59" spans="1:16" ht="13.5" thickTop="1" thickBot="1">
      <c r="A59" s="862"/>
      <c r="B59" s="204" t="s">
        <v>171</v>
      </c>
      <c r="C59" s="205" t="s">
        <v>190</v>
      </c>
      <c r="D59" s="206">
        <f t="shared" si="14"/>
        <v>7010</v>
      </c>
      <c r="E59" s="338">
        <f>апрель!E59+май!E59+июнь!E59</f>
        <v>0</v>
      </c>
      <c r="F59" s="338">
        <f>апрель!F59+май!F59+июнь!F59</f>
        <v>4540</v>
      </c>
      <c r="G59" s="214"/>
      <c r="H59" s="338">
        <f>апрель!H59+май!H59+июнь!H59</f>
        <v>980</v>
      </c>
      <c r="I59" s="338">
        <f>апрель!I59+май!I59+июнь!I59</f>
        <v>1490</v>
      </c>
      <c r="J59" s="206">
        <f t="shared" si="15"/>
        <v>6281.2209999999995</v>
      </c>
      <c r="K59" s="184">
        <f>апрель!K59+май!K59+июнь!K59</f>
        <v>0</v>
      </c>
      <c r="L59" s="184">
        <f>апрель!L59+май!L59+июнь!L59</f>
        <v>3060.2839999999997</v>
      </c>
      <c r="M59" s="214">
        <v>0</v>
      </c>
      <c r="N59" s="338">
        <f>апрель!N59+май!N59+июнь!N59</f>
        <v>1378.7779999999998</v>
      </c>
      <c r="O59" s="338">
        <f>апрель!O59+май!O59+июнь!O59</f>
        <v>1842.1590000000001</v>
      </c>
      <c r="P59" s="553"/>
    </row>
    <row r="60" spans="1:16" ht="13.5" thickTop="1" thickBot="1">
      <c r="A60" s="862"/>
      <c r="B60" s="182" t="s">
        <v>172</v>
      </c>
      <c r="C60" s="182" t="s">
        <v>88</v>
      </c>
      <c r="D60" s="196">
        <f t="shared" si="14"/>
        <v>0</v>
      </c>
      <c r="E60" s="196"/>
      <c r="F60" s="196"/>
      <c r="G60" s="196"/>
      <c r="H60" s="196"/>
      <c r="I60" s="196"/>
      <c r="J60" s="196">
        <f t="shared" si="15"/>
        <v>0</v>
      </c>
      <c r="K60" s="196"/>
      <c r="L60" s="196"/>
      <c r="M60" s="196">
        <f>SUM(M61:M63)</f>
        <v>0</v>
      </c>
      <c r="N60" s="196">
        <f>SUM(N61:N63)</f>
        <v>0</v>
      </c>
      <c r="O60" s="196">
        <f>SUM(O61:O63)</f>
        <v>0</v>
      </c>
      <c r="P60" s="547"/>
    </row>
    <row r="61" spans="1:16" ht="13.5" thickTop="1" thickBot="1">
      <c r="A61" s="862"/>
      <c r="B61" s="207"/>
      <c r="C61" s="208" t="s">
        <v>89</v>
      </c>
      <c r="D61" s="209">
        <f t="shared" si="14"/>
        <v>0</v>
      </c>
      <c r="E61" s="210"/>
      <c r="F61" s="210"/>
      <c r="G61" s="209"/>
      <c r="H61" s="209"/>
      <c r="I61" s="210"/>
      <c r="J61" s="209">
        <f t="shared" si="15"/>
        <v>0</v>
      </c>
      <c r="K61" s="210"/>
      <c r="L61" s="210"/>
      <c r="M61" s="209"/>
      <c r="N61" s="209"/>
      <c r="O61" s="210"/>
      <c r="P61" s="551"/>
    </row>
    <row r="62" spans="1:16" ht="13.5" thickTop="1" thickBot="1">
      <c r="A62" s="862"/>
      <c r="B62" s="207"/>
      <c r="C62" s="208" t="s">
        <v>90</v>
      </c>
      <c r="D62" s="209">
        <f t="shared" si="14"/>
        <v>0</v>
      </c>
      <c r="E62" s="210"/>
      <c r="F62" s="210"/>
      <c r="G62" s="210"/>
      <c r="H62" s="209"/>
      <c r="I62" s="209"/>
      <c r="J62" s="209">
        <f t="shared" si="15"/>
        <v>0</v>
      </c>
      <c r="K62" s="210"/>
      <c r="L62" s="210"/>
      <c r="M62" s="210"/>
      <c r="N62" s="209"/>
      <c r="O62" s="209"/>
      <c r="P62" s="554"/>
    </row>
    <row r="63" spans="1:16" ht="13.5" thickTop="1" thickBot="1">
      <c r="A63" s="862"/>
      <c r="B63" s="207"/>
      <c r="C63" s="208" t="s">
        <v>91</v>
      </c>
      <c r="D63" s="209">
        <f t="shared" si="14"/>
        <v>0</v>
      </c>
      <c r="E63" s="210"/>
      <c r="F63" s="210"/>
      <c r="G63" s="210"/>
      <c r="H63" s="210"/>
      <c r="I63" s="209"/>
      <c r="J63" s="209">
        <f t="shared" si="15"/>
        <v>0</v>
      </c>
      <c r="K63" s="210"/>
      <c r="L63" s="210"/>
      <c r="M63" s="210"/>
      <c r="N63" s="210"/>
      <c r="O63" s="209"/>
      <c r="P63" s="554"/>
    </row>
    <row r="64" spans="1:16" ht="13.5" thickTop="1" thickBot="1">
      <c r="A64" s="862"/>
      <c r="B64" s="182" t="s">
        <v>173</v>
      </c>
      <c r="C64" s="182" t="s">
        <v>93</v>
      </c>
      <c r="D64" s="196">
        <f t="shared" si="14"/>
        <v>0</v>
      </c>
      <c r="E64" s="184">
        <f>апрель!E64+май!E64+июнь!E64</f>
        <v>0</v>
      </c>
      <c r="F64" s="184">
        <f>апрель!F64+май!F64+июнь!F64</f>
        <v>0</v>
      </c>
      <c r="G64" s="211"/>
      <c r="H64" s="211"/>
      <c r="I64" s="196"/>
      <c r="J64" s="196">
        <f t="shared" si="15"/>
        <v>0</v>
      </c>
      <c r="K64" s="184">
        <f>апрель!K64+май!K64+июнь!K64</f>
        <v>0</v>
      </c>
      <c r="L64" s="184">
        <f>апрель!L64+май!L64+июнь!L64</f>
        <v>0</v>
      </c>
      <c r="M64" s="211"/>
      <c r="N64" s="211"/>
      <c r="O64" s="196"/>
      <c r="P64" s="547"/>
    </row>
    <row r="65" spans="1:16" ht="13.5" thickTop="1" thickBot="1">
      <c r="A65" s="862"/>
      <c r="B65" s="182" t="s">
        <v>174</v>
      </c>
      <c r="C65" s="182" t="s">
        <v>95</v>
      </c>
      <c r="D65" s="213">
        <f t="shared" si="14"/>
        <v>0</v>
      </c>
      <c r="E65" s="184">
        <f>апрель!E65+май!E65+июнь!E65</f>
        <v>0</v>
      </c>
      <c r="F65" s="209"/>
      <c r="G65" s="209"/>
      <c r="H65" s="209"/>
      <c r="I65" s="196"/>
      <c r="J65" s="213">
        <f t="shared" si="15"/>
        <v>0</v>
      </c>
      <c r="K65" s="184">
        <f>апрель!K65+май!K65+июнь!K65</f>
        <v>0</v>
      </c>
      <c r="L65" s="240"/>
      <c r="M65" s="209"/>
      <c r="N65" s="209"/>
      <c r="O65" s="196"/>
      <c r="P65" s="547"/>
    </row>
    <row r="66" spans="1:16" ht="13.5" thickTop="1" thickBot="1">
      <c r="A66" s="862"/>
      <c r="B66" s="207"/>
      <c r="C66" s="208" t="s">
        <v>89</v>
      </c>
      <c r="D66" s="209">
        <f t="shared" si="14"/>
        <v>0</v>
      </c>
      <c r="E66" s="210"/>
      <c r="F66" s="210"/>
      <c r="G66" s="209"/>
      <c r="H66" s="209"/>
      <c r="I66" s="210"/>
      <c r="J66" s="209">
        <f t="shared" si="15"/>
        <v>0</v>
      </c>
      <c r="K66" s="210"/>
      <c r="L66" s="210"/>
      <c r="M66" s="209"/>
      <c r="N66" s="209"/>
      <c r="O66" s="210"/>
      <c r="P66" s="551"/>
    </row>
    <row r="67" spans="1:16" ht="13.5" thickTop="1" thickBot="1">
      <c r="A67" s="862"/>
      <c r="B67" s="207"/>
      <c r="C67" s="208" t="s">
        <v>90</v>
      </c>
      <c r="D67" s="209">
        <f t="shared" si="14"/>
        <v>0</v>
      </c>
      <c r="E67" s="210"/>
      <c r="F67" s="210"/>
      <c r="G67" s="210"/>
      <c r="H67" s="209"/>
      <c r="I67" s="209"/>
      <c r="J67" s="209">
        <f t="shared" si="15"/>
        <v>0</v>
      </c>
      <c r="K67" s="210"/>
      <c r="L67" s="210"/>
      <c r="M67" s="210"/>
      <c r="N67" s="209"/>
      <c r="O67" s="209"/>
      <c r="P67" s="554"/>
    </row>
    <row r="68" spans="1:16" ht="13.5" thickTop="1" thickBot="1">
      <c r="A68" s="862"/>
      <c r="B68" s="207"/>
      <c r="C68" s="208" t="s">
        <v>91</v>
      </c>
      <c r="D68" s="209">
        <f t="shared" si="14"/>
        <v>0</v>
      </c>
      <c r="E68" s="210"/>
      <c r="F68" s="210"/>
      <c r="G68" s="210"/>
      <c r="H68" s="210"/>
      <c r="I68" s="209"/>
      <c r="J68" s="209">
        <f t="shared" si="15"/>
        <v>0</v>
      </c>
      <c r="K68" s="210"/>
      <c r="L68" s="210"/>
      <c r="M68" s="210"/>
      <c r="N68" s="210"/>
      <c r="O68" s="209"/>
      <c r="P68" s="554"/>
    </row>
    <row r="69" spans="1:16" ht="13.5" thickTop="1" thickBot="1">
      <c r="A69" s="862"/>
      <c r="B69" s="182" t="s">
        <v>176</v>
      </c>
      <c r="C69" s="182" t="s">
        <v>97</v>
      </c>
      <c r="D69" s="196">
        <f t="shared" si="14"/>
        <v>0</v>
      </c>
      <c r="E69" s="196"/>
      <c r="F69" s="196"/>
      <c r="G69" s="196"/>
      <c r="H69" s="185"/>
      <c r="I69" s="196"/>
      <c r="J69" s="196">
        <f t="shared" si="15"/>
        <v>0</v>
      </c>
      <c r="K69" s="196"/>
      <c r="L69" s="196"/>
      <c r="M69" s="196"/>
      <c r="N69" s="185"/>
      <c r="O69" s="196"/>
      <c r="P69" s="547"/>
    </row>
    <row r="70" spans="1:16" ht="13.5" thickTop="1" thickBot="1">
      <c r="A70" s="862"/>
      <c r="B70" s="182" t="s">
        <v>175</v>
      </c>
      <c r="C70" s="182" t="s">
        <v>99</v>
      </c>
      <c r="D70" s="196">
        <f t="shared" si="14"/>
        <v>0</v>
      </c>
      <c r="E70" s="196"/>
      <c r="F70" s="196"/>
      <c r="G70" s="196"/>
      <c r="H70" s="185"/>
      <c r="I70" s="196"/>
      <c r="J70" s="196">
        <f t="shared" si="15"/>
        <v>0</v>
      </c>
      <c r="K70" s="196"/>
      <c r="L70" s="196"/>
      <c r="M70" s="196"/>
      <c r="N70" s="185"/>
      <c r="O70" s="196"/>
      <c r="P70" s="547"/>
    </row>
    <row r="71" spans="1:16" ht="13.5" thickTop="1" thickBot="1">
      <c r="A71" s="862"/>
      <c r="B71" s="204" t="s">
        <v>177</v>
      </c>
      <c r="C71" s="205" t="s">
        <v>203</v>
      </c>
      <c r="D71" s="206">
        <f t="shared" si="14"/>
        <v>8430</v>
      </c>
      <c r="E71" s="284"/>
      <c r="F71" s="284"/>
      <c r="G71" s="338">
        <f>апрель!G71+май!G71+июнь!G71</f>
        <v>4070</v>
      </c>
      <c r="H71" s="338">
        <f>апрель!H71+май!H71+июнь!H71</f>
        <v>4360</v>
      </c>
      <c r="I71" s="214"/>
      <c r="J71" s="206">
        <f t="shared" si="15"/>
        <v>9282.7709999999988</v>
      </c>
      <c r="K71" s="434"/>
      <c r="L71" s="434"/>
      <c r="M71" s="468">
        <f>апрель!M71+май!M71+июнь!M71</f>
        <v>4227.7070000000003</v>
      </c>
      <c r="N71" s="468">
        <f>апрель!N71+май!N71+июнь!N71</f>
        <v>-1693.2720000000018</v>
      </c>
      <c r="O71" s="468">
        <f>апрель!O71+май!O71+июнь!O71</f>
        <v>6748.3360000000002</v>
      </c>
      <c r="P71" s="553"/>
    </row>
    <row r="72" spans="1:16" ht="13.5" thickTop="1" thickBot="1">
      <c r="A72" s="862"/>
      <c r="B72" s="182" t="s">
        <v>178</v>
      </c>
      <c r="C72" s="182" t="s">
        <v>88</v>
      </c>
      <c r="D72" s="196">
        <f t="shared" si="14"/>
        <v>0</v>
      </c>
      <c r="E72" s="196"/>
      <c r="F72" s="196"/>
      <c r="G72" s="196"/>
      <c r="H72" s="196"/>
      <c r="I72" s="196"/>
      <c r="J72" s="196">
        <f t="shared" si="15"/>
        <v>0</v>
      </c>
      <c r="K72" s="196"/>
      <c r="L72" s="196"/>
      <c r="M72" s="196"/>
      <c r="N72" s="196"/>
      <c r="O72" s="196"/>
      <c r="P72" s="547"/>
    </row>
    <row r="73" spans="1:16" ht="13.5" thickTop="1" thickBot="1">
      <c r="A73" s="862"/>
      <c r="B73" s="207"/>
      <c r="C73" s="208" t="s">
        <v>89</v>
      </c>
      <c r="D73" s="209">
        <f t="shared" si="14"/>
        <v>3218</v>
      </c>
      <c r="E73" s="210"/>
      <c r="F73" s="210"/>
      <c r="G73" s="184">
        <f>апрель!G73+май!G73+июнь!G73</f>
        <v>640</v>
      </c>
      <c r="H73" s="184">
        <f>апрель!H73+май!H73+июнь!H73</f>
        <v>2578</v>
      </c>
      <c r="I73" s="210"/>
      <c r="J73" s="209">
        <f t="shared" si="15"/>
        <v>-26032.815000000002</v>
      </c>
      <c r="K73" s="210"/>
      <c r="L73" s="210"/>
      <c r="M73" s="184">
        <f>апрель!M73+май!M73+июнь!M73</f>
        <v>367.08700000000022</v>
      </c>
      <c r="N73" s="184">
        <f>апрель!N73+май!N73+июнь!N73</f>
        <v>-26399.902000000002</v>
      </c>
      <c r="O73" s="210"/>
      <c r="P73" s="551"/>
    </row>
    <row r="74" spans="1:16" ht="13.5" thickTop="1" thickBot="1">
      <c r="A74" s="862"/>
      <c r="B74" s="207"/>
      <c r="C74" s="208" t="s">
        <v>90</v>
      </c>
      <c r="D74" s="209">
        <f t="shared" si="14"/>
        <v>0</v>
      </c>
      <c r="E74" s="210"/>
      <c r="F74" s="210"/>
      <c r="G74" s="210"/>
      <c r="H74" s="209"/>
      <c r="I74" s="209"/>
      <c r="J74" s="209">
        <f t="shared" si="15"/>
        <v>0</v>
      </c>
      <c r="K74" s="210"/>
      <c r="L74" s="210"/>
      <c r="M74" s="210"/>
      <c r="N74" s="209"/>
      <c r="O74" s="209"/>
      <c r="P74" s="554"/>
    </row>
    <row r="75" spans="1:16" ht="13.5" thickTop="1" thickBot="1">
      <c r="A75" s="862"/>
      <c r="B75" s="207"/>
      <c r="C75" s="208" t="s">
        <v>91</v>
      </c>
      <c r="D75" s="209">
        <f t="shared" si="14"/>
        <v>0</v>
      </c>
      <c r="E75" s="210"/>
      <c r="F75" s="210"/>
      <c r="G75" s="210"/>
      <c r="H75" s="210"/>
      <c r="I75" s="209"/>
      <c r="J75" s="209">
        <f t="shared" si="15"/>
        <v>0</v>
      </c>
      <c r="K75" s="210"/>
      <c r="L75" s="210"/>
      <c r="M75" s="210"/>
      <c r="N75" s="210"/>
      <c r="O75" s="209"/>
      <c r="P75" s="554"/>
    </row>
    <row r="76" spans="1:16" ht="13.5" thickTop="1" thickBot="1">
      <c r="A76" s="862"/>
      <c r="B76" s="182" t="s">
        <v>179</v>
      </c>
      <c r="C76" s="182" t="s">
        <v>93</v>
      </c>
      <c r="D76" s="196">
        <f t="shared" si="14"/>
        <v>0</v>
      </c>
      <c r="E76" s="196"/>
      <c r="F76" s="196"/>
      <c r="G76" s="211"/>
      <c r="H76" s="211"/>
      <c r="I76" s="196"/>
      <c r="J76" s="196">
        <f t="shared" si="15"/>
        <v>0</v>
      </c>
      <c r="K76" s="196"/>
      <c r="L76" s="196"/>
      <c r="M76" s="211"/>
      <c r="N76" s="211"/>
      <c r="O76" s="196"/>
      <c r="P76" s="547"/>
    </row>
    <row r="77" spans="1:16" ht="13.5" thickTop="1" thickBot="1">
      <c r="A77" s="862"/>
      <c r="B77" s="182" t="s">
        <v>180</v>
      </c>
      <c r="C77" s="182" t="s">
        <v>95</v>
      </c>
      <c r="D77" s="213">
        <f t="shared" si="14"/>
        <v>0</v>
      </c>
      <c r="E77" s="383"/>
      <c r="F77" s="209"/>
      <c r="G77" s="184"/>
      <c r="H77" s="184"/>
      <c r="I77" s="196"/>
      <c r="J77" s="213"/>
      <c r="K77" s="383"/>
      <c r="L77" s="209"/>
      <c r="M77" s="184"/>
      <c r="N77" s="184"/>
      <c r="O77" s="196"/>
      <c r="P77" s="547"/>
    </row>
    <row r="78" spans="1:16" ht="13.5" thickTop="1" thickBot="1">
      <c r="A78" s="862"/>
      <c r="B78" s="207"/>
      <c r="C78" s="208" t="s">
        <v>89</v>
      </c>
      <c r="D78" s="209">
        <f t="shared" si="14"/>
        <v>5212</v>
      </c>
      <c r="E78" s="210"/>
      <c r="F78" s="210"/>
      <c r="G78" s="184">
        <f>апрель!G78+май!G78+июнь!G78</f>
        <v>3430</v>
      </c>
      <c r="H78" s="184">
        <f>апрель!H78+май!H78+июнь!H78</f>
        <v>1782</v>
      </c>
      <c r="I78" s="210"/>
      <c r="J78" s="209">
        <f t="shared" si="15"/>
        <v>7413.7699999999995</v>
      </c>
      <c r="K78" s="210"/>
      <c r="L78" s="210"/>
      <c r="M78" s="184">
        <f>апрель!M78+май!M78+июнь!M78</f>
        <v>3860.62</v>
      </c>
      <c r="N78" s="184">
        <f>апрель!N78+май!N78+июнь!N78</f>
        <v>3553.1499999999996</v>
      </c>
      <c r="O78" s="210"/>
      <c r="P78" s="551"/>
    </row>
    <row r="79" spans="1:16" ht="13.5" thickTop="1" thickBot="1">
      <c r="A79" s="862"/>
      <c r="B79" s="207"/>
      <c r="C79" s="208" t="s">
        <v>90</v>
      </c>
      <c r="D79" s="209">
        <f t="shared" si="14"/>
        <v>0</v>
      </c>
      <c r="E79" s="210"/>
      <c r="F79" s="210"/>
      <c r="G79" s="210"/>
      <c r="H79" s="209"/>
      <c r="I79" s="209"/>
      <c r="J79" s="209">
        <f t="shared" si="15"/>
        <v>0</v>
      </c>
      <c r="K79" s="210"/>
      <c r="L79" s="210"/>
      <c r="M79" s="210"/>
      <c r="N79" s="209"/>
      <c r="O79" s="209"/>
      <c r="P79" s="554"/>
    </row>
    <row r="80" spans="1:16" ht="13.5" thickTop="1" thickBot="1">
      <c r="A80" s="862"/>
      <c r="B80" s="207"/>
      <c r="C80" s="208" t="s">
        <v>91</v>
      </c>
      <c r="D80" s="209">
        <f t="shared" si="14"/>
        <v>0</v>
      </c>
      <c r="E80" s="210"/>
      <c r="F80" s="210"/>
      <c r="G80" s="210"/>
      <c r="H80" s="210"/>
      <c r="I80" s="209"/>
      <c r="J80" s="209">
        <f t="shared" si="15"/>
        <v>0</v>
      </c>
      <c r="K80" s="210"/>
      <c r="L80" s="210"/>
      <c r="M80" s="210"/>
      <c r="N80" s="210"/>
      <c r="O80" s="209"/>
      <c r="P80" s="554"/>
    </row>
    <row r="81" spans="1:16" ht="13.5" thickTop="1" thickBot="1">
      <c r="A81" s="862"/>
      <c r="B81" s="182" t="s">
        <v>181</v>
      </c>
      <c r="C81" s="182" t="s">
        <v>97</v>
      </c>
      <c r="D81" s="196">
        <f t="shared" si="14"/>
        <v>0</v>
      </c>
      <c r="E81" s="196"/>
      <c r="F81" s="196"/>
      <c r="G81" s="196"/>
      <c r="H81" s="185"/>
      <c r="I81" s="196"/>
      <c r="J81" s="196">
        <f t="shared" si="15"/>
        <v>0</v>
      </c>
      <c r="K81" s="196"/>
      <c r="L81" s="196"/>
      <c r="M81" s="196"/>
      <c r="N81" s="185"/>
      <c r="O81" s="196"/>
      <c r="P81" s="547"/>
    </row>
    <row r="82" spans="1:16" ht="13.5" thickTop="1" thickBot="1">
      <c r="A82" s="862"/>
      <c r="B82" s="182" t="s">
        <v>182</v>
      </c>
      <c r="C82" s="182" t="s">
        <v>99</v>
      </c>
      <c r="D82" s="196">
        <f t="shared" si="14"/>
        <v>0</v>
      </c>
      <c r="E82" s="196"/>
      <c r="F82" s="196"/>
      <c r="G82" s="196"/>
      <c r="H82" s="185"/>
      <c r="I82" s="196"/>
      <c r="J82" s="196">
        <f t="shared" si="15"/>
        <v>0</v>
      </c>
      <c r="K82" s="196"/>
      <c r="L82" s="196"/>
      <c r="M82" s="196"/>
      <c r="N82" s="185"/>
      <c r="O82" s="196"/>
      <c r="P82" s="547"/>
    </row>
    <row r="83" spans="1:16" ht="13.5" thickTop="1" thickBot="1">
      <c r="A83" s="862"/>
      <c r="B83" s="204" t="s">
        <v>183</v>
      </c>
      <c r="C83" s="205" t="s">
        <v>189</v>
      </c>
      <c r="D83" s="196">
        <f t="shared" si="14"/>
        <v>206420</v>
      </c>
      <c r="E83" s="196"/>
      <c r="F83" s="338">
        <f>апрель!F83+май!F83+июнь!F83</f>
        <v>206420</v>
      </c>
      <c r="G83" s="196"/>
      <c r="H83" s="185"/>
      <c r="I83" s="196"/>
      <c r="J83" s="196">
        <f t="shared" si="15"/>
        <v>185414.20799999998</v>
      </c>
      <c r="K83" s="196"/>
      <c r="L83" s="184">
        <f>апрель!L83+май!L83+июнь!L83</f>
        <v>185414.20799999998</v>
      </c>
      <c r="M83" s="196"/>
      <c r="N83" s="185"/>
      <c r="O83" s="196"/>
      <c r="P83" s="547"/>
    </row>
    <row r="84" spans="1:16" ht="13.5" thickTop="1" thickBot="1">
      <c r="A84" s="862"/>
      <c r="B84" s="182" t="s">
        <v>184</v>
      </c>
      <c r="C84" s="182" t="s">
        <v>88</v>
      </c>
      <c r="D84" s="196">
        <f t="shared" si="14"/>
        <v>0</v>
      </c>
      <c r="E84" s="196"/>
      <c r="F84" s="196"/>
      <c r="G84" s="196"/>
      <c r="H84" s="196"/>
      <c r="I84" s="196"/>
      <c r="J84" s="196">
        <f t="shared" si="15"/>
        <v>0</v>
      </c>
      <c r="K84" s="196"/>
      <c r="L84" s="196"/>
      <c r="M84" s="196"/>
      <c r="N84" s="196"/>
      <c r="O84" s="196"/>
      <c r="P84" s="547"/>
    </row>
    <row r="85" spans="1:16" ht="13.5" thickTop="1" thickBot="1">
      <c r="A85" s="862"/>
      <c r="B85" s="207"/>
      <c r="C85" s="208" t="s">
        <v>89</v>
      </c>
      <c r="D85" s="209">
        <f t="shared" si="14"/>
        <v>0</v>
      </c>
      <c r="E85" s="210"/>
      <c r="F85" s="210"/>
      <c r="G85" s="209"/>
      <c r="H85" s="209"/>
      <c r="I85" s="210"/>
      <c r="J85" s="209">
        <f t="shared" si="15"/>
        <v>0</v>
      </c>
      <c r="K85" s="210"/>
      <c r="L85" s="210"/>
      <c r="M85" s="209"/>
      <c r="N85" s="209"/>
      <c r="O85" s="210"/>
      <c r="P85" s="551"/>
    </row>
    <row r="86" spans="1:16" ht="13.5" thickTop="1" thickBot="1">
      <c r="A86" s="862"/>
      <c r="B86" s="207"/>
      <c r="C86" s="208" t="s">
        <v>90</v>
      </c>
      <c r="D86" s="209">
        <f t="shared" si="14"/>
        <v>0</v>
      </c>
      <c r="E86" s="210"/>
      <c r="F86" s="210"/>
      <c r="G86" s="210"/>
      <c r="H86" s="209"/>
      <c r="I86" s="209"/>
      <c r="J86" s="209">
        <f t="shared" si="15"/>
        <v>0</v>
      </c>
      <c r="K86" s="210"/>
      <c r="L86" s="210"/>
      <c r="M86" s="210"/>
      <c r="N86" s="209"/>
      <c r="O86" s="209"/>
      <c r="P86" s="554"/>
    </row>
    <row r="87" spans="1:16" ht="13.5" thickTop="1" thickBot="1">
      <c r="A87" s="862"/>
      <c r="B87" s="207"/>
      <c r="C87" s="208" t="s">
        <v>91</v>
      </c>
      <c r="D87" s="209">
        <f t="shared" si="14"/>
        <v>0</v>
      </c>
      <c r="E87" s="210"/>
      <c r="F87" s="210"/>
      <c r="G87" s="210"/>
      <c r="H87" s="210"/>
      <c r="I87" s="209"/>
      <c r="J87" s="209">
        <f t="shared" si="15"/>
        <v>0</v>
      </c>
      <c r="K87" s="210"/>
      <c r="L87" s="210"/>
      <c r="M87" s="210"/>
      <c r="N87" s="210"/>
      <c r="O87" s="209"/>
      <c r="P87" s="554"/>
    </row>
    <row r="88" spans="1:16" ht="13.5" thickTop="1" thickBot="1">
      <c r="A88" s="862"/>
      <c r="B88" s="182" t="s">
        <v>185</v>
      </c>
      <c r="C88" s="182" t="s">
        <v>93</v>
      </c>
      <c r="D88" s="196">
        <f t="shared" si="14"/>
        <v>0</v>
      </c>
      <c r="E88" s="196"/>
      <c r="F88" s="196"/>
      <c r="G88" s="211"/>
      <c r="H88" s="211"/>
      <c r="I88" s="196"/>
      <c r="J88" s="196">
        <f t="shared" si="15"/>
        <v>0</v>
      </c>
      <c r="K88" s="196"/>
      <c r="L88" s="196"/>
      <c r="M88" s="211"/>
      <c r="N88" s="211"/>
      <c r="O88" s="196"/>
      <c r="P88" s="547"/>
    </row>
    <row r="89" spans="1:16" ht="13.5" thickTop="1" thickBot="1">
      <c r="A89" s="862"/>
      <c r="B89" s="182" t="s">
        <v>186</v>
      </c>
      <c r="C89" s="182" t="s">
        <v>95</v>
      </c>
      <c r="D89" s="213">
        <f t="shared" si="14"/>
        <v>92221</v>
      </c>
      <c r="E89" s="383"/>
      <c r="F89" s="184">
        <f>апрель!F89+май!F89+июнь!F89</f>
        <v>92221</v>
      </c>
      <c r="G89" s="209"/>
      <c r="H89" s="209"/>
      <c r="I89" s="196"/>
      <c r="J89" s="213">
        <f t="shared" si="15"/>
        <v>69698.2</v>
      </c>
      <c r="K89" s="319"/>
      <c r="L89" s="184">
        <f>апрель!L89+май!L89+июнь!L89</f>
        <v>69698.2</v>
      </c>
      <c r="M89" s="209"/>
      <c r="N89" s="209"/>
      <c r="O89" s="196"/>
      <c r="P89" s="547"/>
    </row>
    <row r="90" spans="1:16" ht="13.5" thickTop="1" thickBot="1">
      <c r="A90" s="862"/>
      <c r="B90" s="207"/>
      <c r="C90" s="208" t="s">
        <v>89</v>
      </c>
      <c r="D90" s="209">
        <f t="shared" si="14"/>
        <v>0</v>
      </c>
      <c r="E90" s="210"/>
      <c r="F90" s="210"/>
      <c r="G90" s="209"/>
      <c r="H90" s="209"/>
      <c r="I90" s="210"/>
      <c r="J90" s="209">
        <f t="shared" si="15"/>
        <v>0</v>
      </c>
      <c r="K90" s="210"/>
      <c r="L90" s="210"/>
      <c r="M90" s="209"/>
      <c r="N90" s="209"/>
      <c r="O90" s="210"/>
      <c r="P90" s="551"/>
    </row>
    <row r="91" spans="1:16" ht="13.5" thickTop="1" thickBot="1">
      <c r="A91" s="862"/>
      <c r="B91" s="207"/>
      <c r="C91" s="208" t="s">
        <v>90</v>
      </c>
      <c r="D91" s="209">
        <f t="shared" si="14"/>
        <v>0</v>
      </c>
      <c r="E91" s="210"/>
      <c r="F91" s="210"/>
      <c r="G91" s="210"/>
      <c r="H91" s="209"/>
      <c r="I91" s="209"/>
      <c r="J91" s="209">
        <f t="shared" si="15"/>
        <v>0</v>
      </c>
      <c r="K91" s="210"/>
      <c r="L91" s="210"/>
      <c r="M91" s="210"/>
      <c r="N91" s="209"/>
      <c r="O91" s="209"/>
      <c r="P91" s="554"/>
    </row>
    <row r="92" spans="1:16" ht="13.5" thickTop="1" thickBot="1">
      <c r="A92" s="862"/>
      <c r="B92" s="207"/>
      <c r="C92" s="208" t="s">
        <v>91</v>
      </c>
      <c r="D92" s="209">
        <f t="shared" si="14"/>
        <v>0</v>
      </c>
      <c r="E92" s="210"/>
      <c r="F92" s="210"/>
      <c r="G92" s="210"/>
      <c r="H92" s="210"/>
      <c r="I92" s="209"/>
      <c r="J92" s="209">
        <f t="shared" si="15"/>
        <v>0</v>
      </c>
      <c r="K92" s="210"/>
      <c r="L92" s="210"/>
      <c r="M92" s="210"/>
      <c r="N92" s="210"/>
      <c r="O92" s="209"/>
      <c r="P92" s="554"/>
    </row>
    <row r="93" spans="1:16" ht="13.5" thickTop="1" thickBot="1">
      <c r="A93" s="862"/>
      <c r="B93" s="182" t="s">
        <v>187</v>
      </c>
      <c r="C93" s="182" t="s">
        <v>97</v>
      </c>
      <c r="D93" s="196">
        <f t="shared" si="14"/>
        <v>0</v>
      </c>
      <c r="E93" s="196"/>
      <c r="F93" s="196"/>
      <c r="G93" s="196"/>
      <c r="H93" s="185"/>
      <c r="I93" s="196"/>
      <c r="J93" s="196">
        <f t="shared" si="15"/>
        <v>0</v>
      </c>
      <c r="K93" s="196"/>
      <c r="L93" s="196"/>
      <c r="M93" s="196"/>
      <c r="N93" s="185"/>
      <c r="O93" s="196"/>
      <c r="P93" s="547"/>
    </row>
    <row r="94" spans="1:16" ht="13.5" thickTop="1" thickBot="1">
      <c r="A94" s="862"/>
      <c r="B94" s="182" t="s">
        <v>188</v>
      </c>
      <c r="C94" s="182" t="s">
        <v>99</v>
      </c>
      <c r="D94" s="196">
        <f t="shared" si="14"/>
        <v>0</v>
      </c>
      <c r="E94" s="196"/>
      <c r="F94" s="196"/>
      <c r="G94" s="196"/>
      <c r="H94" s="185"/>
      <c r="I94" s="196"/>
      <c r="J94" s="196">
        <f t="shared" si="15"/>
        <v>0</v>
      </c>
      <c r="K94" s="196"/>
      <c r="L94" s="196"/>
      <c r="M94" s="196"/>
      <c r="N94" s="185"/>
      <c r="O94" s="196"/>
      <c r="P94" s="547"/>
    </row>
    <row r="95" spans="1:16" ht="13.5" thickTop="1" thickBot="1">
      <c r="A95" s="862"/>
      <c r="B95" s="204" t="s">
        <v>197</v>
      </c>
      <c r="C95" s="595" t="s">
        <v>204</v>
      </c>
      <c r="D95" s="325">
        <f t="shared" ref="D95:D106" si="16">SUM(E95:I95)</f>
        <v>14050</v>
      </c>
      <c r="E95" s="284"/>
      <c r="F95" s="325"/>
      <c r="G95" s="284"/>
      <c r="H95" s="338">
        <f>апрель!H95+май!H95+июнь!H95</f>
        <v>14050</v>
      </c>
      <c r="I95" s="284"/>
      <c r="J95" s="206">
        <f t="shared" ref="J95:J106" si="17">SUM(K95:O95)</f>
        <v>9615.0390000000007</v>
      </c>
      <c r="K95" s="284"/>
      <c r="L95" s="325"/>
      <c r="M95" s="214"/>
      <c r="N95" s="184">
        <f>апрель!N95+май!N95+июнь!N95</f>
        <v>9615.0390000000007</v>
      </c>
      <c r="O95" s="214"/>
      <c r="P95" s="547"/>
    </row>
    <row r="96" spans="1:16" ht="13.5" thickTop="1" thickBot="1">
      <c r="A96" s="862"/>
      <c r="B96" s="182" t="s">
        <v>198</v>
      </c>
      <c r="C96" s="182" t="s">
        <v>88</v>
      </c>
      <c r="D96" s="324">
        <f t="shared" si="16"/>
        <v>0</v>
      </c>
      <c r="E96" s="324"/>
      <c r="F96" s="324"/>
      <c r="G96" s="324"/>
      <c r="H96" s="693"/>
      <c r="I96" s="324"/>
      <c r="J96" s="196">
        <f t="shared" si="17"/>
        <v>0</v>
      </c>
      <c r="K96" s="196"/>
      <c r="L96" s="196"/>
      <c r="M96" s="196"/>
      <c r="N96" s="196"/>
      <c r="O96" s="196"/>
      <c r="P96" s="547"/>
    </row>
    <row r="97" spans="1:16" ht="13.5" thickTop="1" thickBot="1">
      <c r="A97" s="862"/>
      <c r="B97" s="207"/>
      <c r="C97" s="208" t="s">
        <v>89</v>
      </c>
      <c r="D97" s="326">
        <f t="shared" si="16"/>
        <v>3780</v>
      </c>
      <c r="E97" s="327"/>
      <c r="F97" s="327"/>
      <c r="G97" s="326"/>
      <c r="H97" s="338">
        <f>апрель!H97+май!H97+июнь!H97</f>
        <v>3780</v>
      </c>
      <c r="I97" s="327"/>
      <c r="J97" s="209">
        <f t="shared" si="17"/>
        <v>2981.518</v>
      </c>
      <c r="K97" s="210"/>
      <c r="L97" s="210"/>
      <c r="M97" s="209"/>
      <c r="N97" s="338">
        <f>апрель!N97+май!N97+июнь!N97</f>
        <v>2981.518</v>
      </c>
      <c r="O97" s="210"/>
      <c r="P97" s="547"/>
    </row>
    <row r="98" spans="1:16" ht="13.5" thickTop="1" thickBot="1">
      <c r="A98" s="862"/>
      <c r="B98" s="207"/>
      <c r="C98" s="208" t="s">
        <v>90</v>
      </c>
      <c r="D98" s="326">
        <f t="shared" si="16"/>
        <v>6450</v>
      </c>
      <c r="E98" s="327"/>
      <c r="F98" s="327"/>
      <c r="G98" s="327"/>
      <c r="H98" s="338">
        <f>апрель!H98+май!H98+июнь!H98</f>
        <v>6450</v>
      </c>
      <c r="I98" s="326"/>
      <c r="J98" s="209">
        <f t="shared" si="17"/>
        <v>2650.2919999999999</v>
      </c>
      <c r="K98" s="210"/>
      <c r="L98" s="210"/>
      <c r="M98" s="210"/>
      <c r="N98" s="338">
        <f>апрель!N98+май!N98+июнь!N98</f>
        <v>2650.2919999999999</v>
      </c>
      <c r="O98" s="209"/>
      <c r="P98" s="547"/>
    </row>
    <row r="99" spans="1:16" ht="13.5" thickTop="1" thickBot="1">
      <c r="A99" s="862"/>
      <c r="B99" s="207"/>
      <c r="C99" s="208" t="s">
        <v>91</v>
      </c>
      <c r="D99" s="326">
        <f t="shared" si="16"/>
        <v>0</v>
      </c>
      <c r="E99" s="327"/>
      <c r="F99" s="327"/>
      <c r="G99" s="327"/>
      <c r="H99" s="327"/>
      <c r="I99" s="326"/>
      <c r="J99" s="209">
        <f t="shared" si="17"/>
        <v>0</v>
      </c>
      <c r="K99" s="210"/>
      <c r="L99" s="210"/>
      <c r="M99" s="210"/>
      <c r="N99" s="210"/>
      <c r="O99" s="209"/>
      <c r="P99" s="547"/>
    </row>
    <row r="100" spans="1:16" ht="13.5" thickTop="1" thickBot="1">
      <c r="A100" s="862"/>
      <c r="B100" s="182" t="s">
        <v>199</v>
      </c>
      <c r="C100" s="182" t="s">
        <v>93</v>
      </c>
      <c r="D100" s="324">
        <f t="shared" si="16"/>
        <v>0</v>
      </c>
      <c r="E100" s="324"/>
      <c r="F100" s="324"/>
      <c r="G100" s="328"/>
      <c r="H100" s="184"/>
      <c r="I100" s="324"/>
      <c r="J100" s="196">
        <f t="shared" si="17"/>
        <v>0</v>
      </c>
      <c r="K100" s="196"/>
      <c r="L100" s="196"/>
      <c r="M100" s="211"/>
      <c r="N100" s="184"/>
      <c r="O100" s="196"/>
      <c r="P100" s="547"/>
    </row>
    <row r="101" spans="1:16" ht="13.5" thickTop="1" thickBot="1">
      <c r="A101" s="862"/>
      <c r="B101" s="182" t="s">
        <v>200</v>
      </c>
      <c r="C101" s="182" t="s">
        <v>95</v>
      </c>
      <c r="D101" s="330">
        <f t="shared" si="16"/>
        <v>0</v>
      </c>
      <c r="E101" s="380"/>
      <c r="F101" s="331"/>
      <c r="G101" s="326"/>
      <c r="H101" s="326"/>
      <c r="I101" s="324"/>
      <c r="J101" s="213">
        <f t="shared" si="17"/>
        <v>0</v>
      </c>
      <c r="K101" s="383"/>
      <c r="L101" s="320"/>
      <c r="M101" s="209"/>
      <c r="N101" s="209"/>
      <c r="O101" s="196"/>
      <c r="P101" s="547"/>
    </row>
    <row r="102" spans="1:16" ht="13.5" thickTop="1" thickBot="1">
      <c r="A102" s="862"/>
      <c r="B102" s="207"/>
      <c r="C102" s="208" t="s">
        <v>89</v>
      </c>
      <c r="D102" s="326">
        <f t="shared" si="16"/>
        <v>0</v>
      </c>
      <c r="E102" s="327"/>
      <c r="F102" s="327"/>
      <c r="G102" s="326"/>
      <c r="H102" s="326"/>
      <c r="I102" s="327"/>
      <c r="J102" s="209">
        <f t="shared" si="17"/>
        <v>0</v>
      </c>
      <c r="K102" s="210"/>
      <c r="L102" s="210"/>
      <c r="M102" s="209"/>
      <c r="N102" s="209"/>
      <c r="O102" s="210"/>
      <c r="P102" s="547"/>
    </row>
    <row r="103" spans="1:16" ht="13.5" thickTop="1" thickBot="1">
      <c r="A103" s="862"/>
      <c r="B103" s="207"/>
      <c r="C103" s="208" t="s">
        <v>90</v>
      </c>
      <c r="D103" s="326">
        <f t="shared" si="16"/>
        <v>0</v>
      </c>
      <c r="E103" s="327"/>
      <c r="F103" s="327"/>
      <c r="G103" s="327"/>
      <c r="H103" s="326"/>
      <c r="I103" s="326"/>
      <c r="J103" s="209">
        <f t="shared" si="17"/>
        <v>0</v>
      </c>
      <c r="K103" s="210"/>
      <c r="L103" s="210"/>
      <c r="M103" s="210"/>
      <c r="N103" s="209"/>
      <c r="O103" s="209"/>
      <c r="P103" s="547"/>
    </row>
    <row r="104" spans="1:16" ht="13.5" thickTop="1" thickBot="1">
      <c r="A104" s="862"/>
      <c r="B104" s="207"/>
      <c r="C104" s="208" t="s">
        <v>91</v>
      </c>
      <c r="D104" s="326">
        <f t="shared" si="16"/>
        <v>0</v>
      </c>
      <c r="E104" s="327"/>
      <c r="F104" s="327"/>
      <c r="G104" s="327"/>
      <c r="H104" s="327"/>
      <c r="I104" s="326"/>
      <c r="J104" s="209">
        <f t="shared" si="17"/>
        <v>0</v>
      </c>
      <c r="K104" s="210"/>
      <c r="L104" s="210"/>
      <c r="M104" s="210"/>
      <c r="N104" s="210"/>
      <c r="O104" s="209"/>
      <c r="P104" s="547"/>
    </row>
    <row r="105" spans="1:16" ht="13.5" thickTop="1" thickBot="1">
      <c r="A105" s="862"/>
      <c r="B105" s="182" t="s">
        <v>201</v>
      </c>
      <c r="C105" s="182" t="s">
        <v>97</v>
      </c>
      <c r="D105" s="324">
        <f t="shared" si="16"/>
        <v>0</v>
      </c>
      <c r="E105" s="324"/>
      <c r="F105" s="324"/>
      <c r="G105" s="324"/>
      <c r="H105" s="323"/>
      <c r="I105" s="324"/>
      <c r="J105" s="196">
        <f t="shared" si="17"/>
        <v>0</v>
      </c>
      <c r="K105" s="196"/>
      <c r="L105" s="196"/>
      <c r="M105" s="196"/>
      <c r="N105" s="185"/>
      <c r="O105" s="196"/>
      <c r="P105" s="547"/>
    </row>
    <row r="106" spans="1:16" ht="13.5" thickTop="1" thickBot="1">
      <c r="A106" s="862"/>
      <c r="B106" s="182" t="s">
        <v>202</v>
      </c>
      <c r="C106" s="182" t="s">
        <v>99</v>
      </c>
      <c r="D106" s="324">
        <f t="shared" si="16"/>
        <v>0</v>
      </c>
      <c r="E106" s="324"/>
      <c r="F106" s="324"/>
      <c r="G106" s="324"/>
      <c r="H106" s="323"/>
      <c r="I106" s="324"/>
      <c r="J106" s="196">
        <f t="shared" si="17"/>
        <v>0</v>
      </c>
      <c r="K106" s="196"/>
      <c r="L106" s="196"/>
      <c r="M106" s="196"/>
      <c r="N106" s="196"/>
      <c r="O106" s="196"/>
      <c r="P106" s="547"/>
    </row>
    <row r="107" spans="1:16" ht="13.5" thickTop="1" thickBot="1">
      <c r="A107" s="862"/>
      <c r="B107" s="204" t="s">
        <v>234</v>
      </c>
      <c r="C107" s="595" t="s">
        <v>235</v>
      </c>
      <c r="D107" s="325">
        <f t="shared" ref="D107:D118" si="18">SUM(E107:I107)</f>
        <v>0</v>
      </c>
      <c r="E107" s="284"/>
      <c r="F107" s="325"/>
      <c r="G107" s="284"/>
      <c r="H107" s="338">
        <f>апрель!H107+май!H107+июнь!H107</f>
        <v>0</v>
      </c>
      <c r="I107" s="284"/>
      <c r="J107" s="206">
        <f t="shared" ref="J107:J118" si="19">SUM(K107:O107)</f>
        <v>1992.404</v>
      </c>
      <c r="K107" s="284"/>
      <c r="L107" s="325"/>
      <c r="M107" s="214"/>
      <c r="N107" s="338">
        <f>апрель!N107+май!N107+июнь!N107</f>
        <v>1992.404</v>
      </c>
      <c r="O107" s="214"/>
      <c r="P107" s="547"/>
    </row>
    <row r="108" spans="1:16" ht="13.5" thickTop="1" thickBot="1">
      <c r="A108" s="862"/>
      <c r="B108" s="182" t="s">
        <v>236</v>
      </c>
      <c r="C108" s="182" t="s">
        <v>88</v>
      </c>
      <c r="D108" s="324">
        <f t="shared" si="18"/>
        <v>0</v>
      </c>
      <c r="E108" s="324"/>
      <c r="F108" s="324"/>
      <c r="G108" s="324"/>
      <c r="H108" s="324"/>
      <c r="I108" s="324"/>
      <c r="J108" s="196">
        <f t="shared" si="19"/>
        <v>0</v>
      </c>
      <c r="K108" s="196"/>
      <c r="L108" s="196"/>
      <c r="M108" s="196"/>
      <c r="N108" s="196"/>
      <c r="O108" s="196"/>
      <c r="P108" s="547"/>
    </row>
    <row r="109" spans="1:16" ht="13.5" thickTop="1" thickBot="1">
      <c r="A109" s="862"/>
      <c r="B109" s="207"/>
      <c r="C109" s="208" t="s">
        <v>89</v>
      </c>
      <c r="D109" s="326">
        <f t="shared" si="18"/>
        <v>0</v>
      </c>
      <c r="E109" s="327"/>
      <c r="F109" s="327"/>
      <c r="G109" s="326"/>
      <c r="H109" s="338">
        <f>апрель!H109+май!H109+июнь!H109</f>
        <v>0</v>
      </c>
      <c r="I109" s="327"/>
      <c r="J109" s="209">
        <f t="shared" si="19"/>
        <v>1992.404</v>
      </c>
      <c r="K109" s="210"/>
      <c r="L109" s="210"/>
      <c r="M109" s="209"/>
      <c r="N109" s="338">
        <f>апрель!N109+май!N109+июнь!N109</f>
        <v>1992.404</v>
      </c>
      <c r="O109" s="210"/>
      <c r="P109" s="547"/>
    </row>
    <row r="110" spans="1:16" ht="13.5" thickTop="1" thickBot="1">
      <c r="A110" s="862"/>
      <c r="B110" s="207"/>
      <c r="C110" s="208" t="s">
        <v>90</v>
      </c>
      <c r="D110" s="326">
        <f t="shared" si="18"/>
        <v>0</v>
      </c>
      <c r="E110" s="327"/>
      <c r="F110" s="327"/>
      <c r="G110" s="327"/>
      <c r="H110" s="339"/>
      <c r="I110" s="326"/>
      <c r="J110" s="209">
        <f t="shared" si="19"/>
        <v>0</v>
      </c>
      <c r="K110" s="210"/>
      <c r="L110" s="210"/>
      <c r="M110" s="210"/>
      <c r="N110" s="699"/>
      <c r="O110" s="209"/>
      <c r="P110" s="547"/>
    </row>
    <row r="111" spans="1:16" ht="13.5" thickTop="1" thickBot="1">
      <c r="A111" s="862"/>
      <c r="B111" s="207"/>
      <c r="C111" s="208" t="s">
        <v>91</v>
      </c>
      <c r="D111" s="326">
        <f t="shared" si="18"/>
        <v>0</v>
      </c>
      <c r="E111" s="327"/>
      <c r="F111" s="327"/>
      <c r="G111" s="327"/>
      <c r="H111" s="327"/>
      <c r="I111" s="326"/>
      <c r="J111" s="209">
        <f t="shared" si="19"/>
        <v>0</v>
      </c>
      <c r="K111" s="210"/>
      <c r="L111" s="210"/>
      <c r="M111" s="210"/>
      <c r="N111" s="210"/>
      <c r="O111" s="209"/>
      <c r="P111" s="547"/>
    </row>
    <row r="112" spans="1:16" ht="13.5" thickTop="1" thickBot="1">
      <c r="A112" s="862"/>
      <c r="B112" s="182" t="s">
        <v>237</v>
      </c>
      <c r="C112" s="182" t="s">
        <v>93</v>
      </c>
      <c r="D112" s="324">
        <f t="shared" si="18"/>
        <v>0</v>
      </c>
      <c r="E112" s="324"/>
      <c r="F112" s="324"/>
      <c r="G112" s="328"/>
      <c r="H112" s="328"/>
      <c r="I112" s="324"/>
      <c r="J112" s="196">
        <f t="shared" si="19"/>
        <v>0</v>
      </c>
      <c r="K112" s="196"/>
      <c r="L112" s="196"/>
      <c r="M112" s="211"/>
      <c r="N112" s="211"/>
      <c r="O112" s="196"/>
      <c r="P112" s="547"/>
    </row>
    <row r="113" spans="1:16" ht="13.5" thickTop="1" thickBot="1">
      <c r="A113" s="862"/>
      <c r="B113" s="182" t="s">
        <v>238</v>
      </c>
      <c r="C113" s="182" t="s">
        <v>95</v>
      </c>
      <c r="D113" s="330">
        <f t="shared" si="18"/>
        <v>0</v>
      </c>
      <c r="E113" s="380"/>
      <c r="F113" s="331"/>
      <c r="G113" s="326"/>
      <c r="H113" s="326"/>
      <c r="I113" s="324"/>
      <c r="J113" s="213">
        <f t="shared" si="19"/>
        <v>0</v>
      </c>
      <c r="K113" s="383"/>
      <c r="L113" s="320"/>
      <c r="M113" s="209"/>
      <c r="N113" s="209"/>
      <c r="O113" s="196"/>
      <c r="P113" s="547"/>
    </row>
    <row r="114" spans="1:16" ht="13.5" thickTop="1" thickBot="1">
      <c r="A114" s="862"/>
      <c r="B114" s="207"/>
      <c r="C114" s="208" t="s">
        <v>89</v>
      </c>
      <c r="D114" s="326">
        <f t="shared" si="18"/>
        <v>0</v>
      </c>
      <c r="E114" s="327"/>
      <c r="F114" s="327"/>
      <c r="G114" s="326"/>
      <c r="H114" s="326"/>
      <c r="I114" s="327"/>
      <c r="J114" s="209">
        <f t="shared" si="19"/>
        <v>0</v>
      </c>
      <c r="K114" s="210"/>
      <c r="L114" s="210"/>
      <c r="M114" s="209"/>
      <c r="N114" s="209"/>
      <c r="O114" s="210"/>
      <c r="P114" s="547"/>
    </row>
    <row r="115" spans="1:16" ht="13.5" thickTop="1" thickBot="1">
      <c r="A115" s="862"/>
      <c r="B115" s="207"/>
      <c r="C115" s="208" t="s">
        <v>90</v>
      </c>
      <c r="D115" s="326">
        <f t="shared" si="18"/>
        <v>0</v>
      </c>
      <c r="E115" s="327"/>
      <c r="F115" s="327"/>
      <c r="G115" s="327"/>
      <c r="H115" s="326"/>
      <c r="I115" s="326"/>
      <c r="J115" s="209">
        <f t="shared" si="19"/>
        <v>0</v>
      </c>
      <c r="K115" s="210"/>
      <c r="L115" s="210"/>
      <c r="M115" s="210"/>
      <c r="N115" s="209"/>
      <c r="O115" s="209"/>
      <c r="P115" s="547"/>
    </row>
    <row r="116" spans="1:16" ht="13.5" thickTop="1" thickBot="1">
      <c r="A116" s="862"/>
      <c r="B116" s="207"/>
      <c r="C116" s="208" t="s">
        <v>91</v>
      </c>
      <c r="D116" s="326">
        <f t="shared" si="18"/>
        <v>0</v>
      </c>
      <c r="E116" s="327"/>
      <c r="F116" s="327"/>
      <c r="G116" s="327"/>
      <c r="H116" s="327"/>
      <c r="I116" s="326"/>
      <c r="J116" s="209">
        <f t="shared" si="19"/>
        <v>0</v>
      </c>
      <c r="K116" s="210"/>
      <c r="L116" s="210"/>
      <c r="M116" s="210"/>
      <c r="N116" s="210"/>
      <c r="O116" s="209"/>
      <c r="P116" s="547"/>
    </row>
    <row r="117" spans="1:16" ht="13.5" thickTop="1" thickBot="1">
      <c r="A117" s="862"/>
      <c r="B117" s="182" t="s">
        <v>239</v>
      </c>
      <c r="C117" s="182" t="s">
        <v>97</v>
      </c>
      <c r="D117" s="324">
        <f t="shared" si="18"/>
        <v>0</v>
      </c>
      <c r="E117" s="324"/>
      <c r="F117" s="324"/>
      <c r="G117" s="324"/>
      <c r="H117" s="324"/>
      <c r="I117" s="324"/>
      <c r="J117" s="196">
        <f t="shared" si="19"/>
        <v>0</v>
      </c>
      <c r="K117" s="196"/>
      <c r="L117" s="196"/>
      <c r="M117" s="196"/>
      <c r="N117" s="185"/>
      <c r="O117" s="196"/>
      <c r="P117" s="547"/>
    </row>
    <row r="118" spans="1:16" ht="13.5" thickTop="1" thickBot="1">
      <c r="A118" s="862"/>
      <c r="B118" s="182" t="s">
        <v>240</v>
      </c>
      <c r="C118" s="182" t="s">
        <v>99</v>
      </c>
      <c r="D118" s="324">
        <f t="shared" si="18"/>
        <v>0</v>
      </c>
      <c r="E118" s="324"/>
      <c r="F118" s="324"/>
      <c r="G118" s="324"/>
      <c r="H118" s="323"/>
      <c r="I118" s="324"/>
      <c r="J118" s="196">
        <f t="shared" si="19"/>
        <v>0</v>
      </c>
      <c r="K118" s="196"/>
      <c r="L118" s="196"/>
      <c r="M118" s="196"/>
      <c r="N118" s="196"/>
      <c r="O118" s="196"/>
      <c r="P118" s="547"/>
    </row>
    <row r="119" spans="1:16" ht="13.5" thickTop="1" thickBot="1">
      <c r="A119" s="862"/>
      <c r="B119" s="204" t="s">
        <v>242</v>
      </c>
      <c r="C119" s="595" t="s">
        <v>248</v>
      </c>
      <c r="D119" s="325">
        <f t="shared" ref="D119:D130" si="20">SUM(E119:I119)</f>
        <v>0</v>
      </c>
      <c r="E119" s="284"/>
      <c r="F119" s="325"/>
      <c r="G119" s="284"/>
      <c r="H119" s="338">
        <f>апрель!H119+май!H119+июнь!H119</f>
        <v>0</v>
      </c>
      <c r="I119" s="284"/>
      <c r="J119" s="206">
        <f t="shared" ref="J119:J130" si="21">SUM(K119:O119)</f>
        <v>1051.1790000000001</v>
      </c>
      <c r="K119" s="284"/>
      <c r="L119" s="325"/>
      <c r="M119" s="214"/>
      <c r="N119" s="338">
        <f>апрель!N119+май!N119+июнь!N119</f>
        <v>1051.1790000000001</v>
      </c>
      <c r="O119" s="214"/>
      <c r="P119" s="547"/>
    </row>
    <row r="120" spans="1:16" ht="13.5" thickTop="1" thickBot="1">
      <c r="A120" s="862"/>
      <c r="B120" s="182" t="s">
        <v>243</v>
      </c>
      <c r="C120" s="182" t="s">
        <v>88</v>
      </c>
      <c r="D120" s="324">
        <f t="shared" si="20"/>
        <v>0</v>
      </c>
      <c r="E120" s="324"/>
      <c r="F120" s="324"/>
      <c r="G120" s="324"/>
      <c r="H120" s="324"/>
      <c r="I120" s="324"/>
      <c r="J120" s="196">
        <f t="shared" si="21"/>
        <v>0</v>
      </c>
      <c r="K120" s="196"/>
      <c r="L120" s="196"/>
      <c r="M120" s="196"/>
      <c r="N120" s="196"/>
      <c r="O120" s="196"/>
      <c r="P120" s="547"/>
    </row>
    <row r="121" spans="1:16" ht="13.5" thickTop="1" thickBot="1">
      <c r="A121" s="862"/>
      <c r="B121" s="207"/>
      <c r="C121" s="208" t="s">
        <v>89</v>
      </c>
      <c r="D121" s="326">
        <f t="shared" si="20"/>
        <v>0</v>
      </c>
      <c r="E121" s="327"/>
      <c r="F121" s="327"/>
      <c r="G121" s="326"/>
      <c r="H121" s="338">
        <f>апрель!H121+май!H121+июнь!H121</f>
        <v>0</v>
      </c>
      <c r="I121" s="327"/>
      <c r="J121" s="209">
        <f t="shared" si="21"/>
        <v>1051.1790000000001</v>
      </c>
      <c r="K121" s="210"/>
      <c r="L121" s="210"/>
      <c r="M121" s="209"/>
      <c r="N121" s="338">
        <f>апрель!N121+май!N121+июнь!N121</f>
        <v>1051.1790000000001</v>
      </c>
      <c r="O121" s="210"/>
      <c r="P121" s="547"/>
    </row>
    <row r="122" spans="1:16" ht="13.5" thickTop="1" thickBot="1">
      <c r="A122" s="862"/>
      <c r="B122" s="207"/>
      <c r="C122" s="208" t="s">
        <v>90</v>
      </c>
      <c r="D122" s="326">
        <f t="shared" si="20"/>
        <v>0</v>
      </c>
      <c r="E122" s="327"/>
      <c r="F122" s="327"/>
      <c r="G122" s="327"/>
      <c r="H122" s="339"/>
      <c r="I122" s="326"/>
      <c r="J122" s="209">
        <f t="shared" si="21"/>
        <v>0</v>
      </c>
      <c r="K122" s="210"/>
      <c r="L122" s="210"/>
      <c r="M122" s="210"/>
      <c r="N122" s="699"/>
      <c r="O122" s="209"/>
      <c r="P122" s="547"/>
    </row>
    <row r="123" spans="1:16" ht="13.5" thickTop="1" thickBot="1">
      <c r="A123" s="862"/>
      <c r="B123" s="207"/>
      <c r="C123" s="208" t="s">
        <v>91</v>
      </c>
      <c r="D123" s="326">
        <f t="shared" si="20"/>
        <v>0</v>
      </c>
      <c r="E123" s="327"/>
      <c r="F123" s="327"/>
      <c r="G123" s="327"/>
      <c r="H123" s="327"/>
      <c r="I123" s="326"/>
      <c r="J123" s="209">
        <f t="shared" si="21"/>
        <v>0</v>
      </c>
      <c r="K123" s="210"/>
      <c r="L123" s="210"/>
      <c r="M123" s="210"/>
      <c r="N123" s="210"/>
      <c r="O123" s="209"/>
      <c r="P123" s="547"/>
    </row>
    <row r="124" spans="1:16" ht="13.5" thickTop="1" thickBot="1">
      <c r="A124" s="862"/>
      <c r="B124" s="182" t="s">
        <v>244</v>
      </c>
      <c r="C124" s="182" t="s">
        <v>93</v>
      </c>
      <c r="D124" s="324">
        <f t="shared" si="20"/>
        <v>0</v>
      </c>
      <c r="E124" s="324"/>
      <c r="F124" s="324"/>
      <c r="G124" s="328"/>
      <c r="H124" s="328"/>
      <c r="I124" s="324"/>
      <c r="J124" s="196">
        <f t="shared" si="21"/>
        <v>0</v>
      </c>
      <c r="K124" s="196"/>
      <c r="L124" s="196"/>
      <c r="M124" s="211"/>
      <c r="N124" s="211"/>
      <c r="O124" s="196"/>
      <c r="P124" s="547"/>
    </row>
    <row r="125" spans="1:16" ht="13.5" thickTop="1" thickBot="1">
      <c r="A125" s="862"/>
      <c r="B125" s="182" t="s">
        <v>245</v>
      </c>
      <c r="C125" s="182" t="s">
        <v>95</v>
      </c>
      <c r="D125" s="330">
        <f t="shared" si="20"/>
        <v>0</v>
      </c>
      <c r="E125" s="380"/>
      <c r="F125" s="331"/>
      <c r="G125" s="326"/>
      <c r="H125" s="326"/>
      <c r="I125" s="324"/>
      <c r="J125" s="213">
        <f t="shared" si="21"/>
        <v>0</v>
      </c>
      <c r="K125" s="383"/>
      <c r="L125" s="320"/>
      <c r="M125" s="209"/>
      <c r="N125" s="209"/>
      <c r="O125" s="196"/>
      <c r="P125" s="547"/>
    </row>
    <row r="126" spans="1:16" ht="13.5" thickTop="1" thickBot="1">
      <c r="A126" s="862"/>
      <c r="B126" s="207"/>
      <c r="C126" s="208" t="s">
        <v>89</v>
      </c>
      <c r="D126" s="326">
        <f t="shared" si="20"/>
        <v>0</v>
      </c>
      <c r="E126" s="327"/>
      <c r="F126" s="327"/>
      <c r="G126" s="326"/>
      <c r="H126" s="326"/>
      <c r="I126" s="327"/>
      <c r="J126" s="209">
        <f t="shared" si="21"/>
        <v>0</v>
      </c>
      <c r="K126" s="210"/>
      <c r="L126" s="210"/>
      <c r="M126" s="209"/>
      <c r="N126" s="209"/>
      <c r="O126" s="210"/>
      <c r="P126" s="547"/>
    </row>
    <row r="127" spans="1:16" ht="13.5" thickTop="1" thickBot="1">
      <c r="A127" s="862"/>
      <c r="B127" s="207"/>
      <c r="C127" s="208" t="s">
        <v>90</v>
      </c>
      <c r="D127" s="326">
        <f t="shared" si="20"/>
        <v>0</v>
      </c>
      <c r="E127" s="327"/>
      <c r="F127" s="327"/>
      <c r="G127" s="327"/>
      <c r="H127" s="326"/>
      <c r="I127" s="326"/>
      <c r="J127" s="209">
        <f t="shared" si="21"/>
        <v>0</v>
      </c>
      <c r="K127" s="210"/>
      <c r="L127" s="210"/>
      <c r="M127" s="210"/>
      <c r="N127" s="209"/>
      <c r="O127" s="209"/>
      <c r="P127" s="547"/>
    </row>
    <row r="128" spans="1:16" ht="13.5" thickTop="1" thickBot="1">
      <c r="A128" s="862"/>
      <c r="B128" s="207"/>
      <c r="C128" s="208" t="s">
        <v>91</v>
      </c>
      <c r="D128" s="326">
        <f t="shared" si="20"/>
        <v>0</v>
      </c>
      <c r="E128" s="327"/>
      <c r="F128" s="327"/>
      <c r="G128" s="327"/>
      <c r="H128" s="327"/>
      <c r="I128" s="326"/>
      <c r="J128" s="209">
        <f t="shared" si="21"/>
        <v>0</v>
      </c>
      <c r="K128" s="210"/>
      <c r="L128" s="210"/>
      <c r="M128" s="210"/>
      <c r="N128" s="210"/>
      <c r="O128" s="209"/>
      <c r="P128" s="547"/>
    </row>
    <row r="129" spans="1:20" ht="13.5" thickTop="1" thickBot="1">
      <c r="A129" s="862"/>
      <c r="B129" s="182" t="s">
        <v>246</v>
      </c>
      <c r="C129" s="182" t="s">
        <v>97</v>
      </c>
      <c r="D129" s="324">
        <f t="shared" si="20"/>
        <v>0</v>
      </c>
      <c r="E129" s="324"/>
      <c r="F129" s="324"/>
      <c r="G129" s="324"/>
      <c r="H129" s="324"/>
      <c r="I129" s="324"/>
      <c r="J129" s="196">
        <f t="shared" si="21"/>
        <v>0</v>
      </c>
      <c r="K129" s="196"/>
      <c r="L129" s="196"/>
      <c r="M129" s="196"/>
      <c r="N129" s="185"/>
      <c r="O129" s="196"/>
      <c r="P129" s="547"/>
    </row>
    <row r="130" spans="1:20" ht="13.5" thickTop="1" thickBot="1">
      <c r="A130" s="862"/>
      <c r="B130" s="182" t="s">
        <v>247</v>
      </c>
      <c r="C130" s="182" t="s">
        <v>99</v>
      </c>
      <c r="D130" s="324">
        <f t="shared" si="20"/>
        <v>0</v>
      </c>
      <c r="E130" s="324"/>
      <c r="F130" s="324"/>
      <c r="G130" s="324"/>
      <c r="H130" s="323"/>
      <c r="I130" s="324"/>
      <c r="J130" s="196">
        <f t="shared" si="21"/>
        <v>0</v>
      </c>
      <c r="K130" s="196"/>
      <c r="L130" s="196"/>
      <c r="M130" s="196"/>
      <c r="N130" s="196"/>
      <c r="O130" s="196"/>
      <c r="P130" s="547"/>
    </row>
    <row r="131" spans="1:20" ht="13.5" thickTop="1" thickBot="1">
      <c r="A131" s="862"/>
      <c r="B131" s="204" t="s">
        <v>250</v>
      </c>
      <c r="C131" s="595" t="s">
        <v>249</v>
      </c>
      <c r="D131" s="325">
        <f t="shared" ref="D131:D142" si="22">SUM(E131:I131)</f>
        <v>0</v>
      </c>
      <c r="E131" s="284"/>
      <c r="F131" s="325"/>
      <c r="G131" s="284"/>
      <c r="H131" s="339"/>
      <c r="I131" s="284"/>
      <c r="J131" s="206">
        <f t="shared" ref="J131:J142" si="23">SUM(K131:O131)</f>
        <v>0</v>
      </c>
      <c r="K131" s="284"/>
      <c r="L131" s="325"/>
      <c r="M131" s="214"/>
      <c r="N131" s="339"/>
      <c r="O131" s="214"/>
    </row>
    <row r="132" spans="1:20" ht="13.5" thickTop="1" thickBot="1">
      <c r="A132" s="862"/>
      <c r="B132" s="182" t="s">
        <v>251</v>
      </c>
      <c r="C132" s="182" t="s">
        <v>88</v>
      </c>
      <c r="D132" s="324">
        <f t="shared" si="22"/>
        <v>0</v>
      </c>
      <c r="E132" s="324"/>
      <c r="F132" s="324"/>
      <c r="G132" s="324"/>
      <c r="H132" s="324"/>
      <c r="I132" s="324"/>
      <c r="J132" s="196">
        <f t="shared" si="23"/>
        <v>0</v>
      </c>
      <c r="K132" s="196"/>
      <c r="L132" s="196"/>
      <c r="M132" s="196"/>
      <c r="N132" s="196"/>
      <c r="O132" s="196"/>
    </row>
    <row r="133" spans="1:20" ht="13.5" thickTop="1" thickBot="1">
      <c r="A133" s="862"/>
      <c r="B133" s="207"/>
      <c r="C133" s="208" t="s">
        <v>89</v>
      </c>
      <c r="D133" s="326">
        <f t="shared" si="22"/>
        <v>0</v>
      </c>
      <c r="E133" s="327"/>
      <c r="F133" s="327"/>
      <c r="G133" s="326"/>
      <c r="H133" s="339"/>
      <c r="I133" s="327"/>
      <c r="J133" s="209">
        <f t="shared" si="23"/>
        <v>0</v>
      </c>
      <c r="K133" s="210"/>
      <c r="L133" s="210"/>
      <c r="M133" s="209"/>
      <c r="N133" s="339"/>
      <c r="O133" s="210"/>
    </row>
    <row r="134" spans="1:20" ht="13.5" thickTop="1" thickBot="1">
      <c r="A134" s="862"/>
      <c r="B134" s="207"/>
      <c r="C134" s="208" t="s">
        <v>90</v>
      </c>
      <c r="D134" s="326">
        <f t="shared" si="22"/>
        <v>0</v>
      </c>
      <c r="E134" s="327"/>
      <c r="F134" s="327"/>
      <c r="G134" s="327"/>
      <c r="H134" s="339"/>
      <c r="I134" s="326"/>
      <c r="J134" s="209">
        <f t="shared" si="23"/>
        <v>0</v>
      </c>
      <c r="K134" s="210"/>
      <c r="L134" s="210"/>
      <c r="M134" s="210"/>
      <c r="N134" s="699"/>
      <c r="O134" s="209"/>
    </row>
    <row r="135" spans="1:20" ht="13.5" thickTop="1" thickBot="1">
      <c r="A135" s="862"/>
      <c r="B135" s="207"/>
      <c r="C135" s="208" t="s">
        <v>91</v>
      </c>
      <c r="D135" s="326">
        <f t="shared" si="22"/>
        <v>0</v>
      </c>
      <c r="E135" s="327"/>
      <c r="F135" s="327"/>
      <c r="G135" s="327"/>
      <c r="H135" s="327"/>
      <c r="I135" s="326"/>
      <c r="J135" s="209">
        <f t="shared" si="23"/>
        <v>0</v>
      </c>
      <c r="K135" s="210"/>
      <c r="L135" s="210"/>
      <c r="M135" s="210"/>
      <c r="N135" s="210"/>
      <c r="O135" s="209"/>
    </row>
    <row r="136" spans="1:20" ht="13.5" thickTop="1" thickBot="1">
      <c r="A136" s="862"/>
      <c r="B136" s="182" t="s">
        <v>252</v>
      </c>
      <c r="C136" s="182" t="s">
        <v>93</v>
      </c>
      <c r="D136" s="324">
        <f t="shared" si="22"/>
        <v>0</v>
      </c>
      <c r="E136" s="324"/>
      <c r="F136" s="324"/>
      <c r="G136" s="328"/>
      <c r="H136" s="328"/>
      <c r="I136" s="324"/>
      <c r="J136" s="196">
        <f t="shared" si="23"/>
        <v>0</v>
      </c>
      <c r="K136" s="196"/>
      <c r="L136" s="196"/>
      <c r="M136" s="211"/>
      <c r="N136" s="211"/>
      <c r="O136" s="196"/>
    </row>
    <row r="137" spans="1:20" ht="13.5" thickTop="1" thickBot="1">
      <c r="A137" s="862"/>
      <c r="B137" s="182" t="s">
        <v>253</v>
      </c>
      <c r="C137" s="182" t="s">
        <v>95</v>
      </c>
      <c r="D137" s="330">
        <f t="shared" si="22"/>
        <v>0</v>
      </c>
      <c r="E137" s="380"/>
      <c r="F137" s="331"/>
      <c r="G137" s="326"/>
      <c r="H137" s="326"/>
      <c r="I137" s="324"/>
      <c r="J137" s="213">
        <f t="shared" si="23"/>
        <v>0</v>
      </c>
      <c r="K137" s="383"/>
      <c r="L137" s="320"/>
      <c r="M137" s="209"/>
      <c r="N137" s="209"/>
      <c r="O137" s="196"/>
    </row>
    <row r="138" spans="1:20" ht="13.5" thickTop="1" thickBot="1">
      <c r="A138" s="862"/>
      <c r="B138" s="207"/>
      <c r="C138" s="208" t="s">
        <v>89</v>
      </c>
      <c r="D138" s="326">
        <f t="shared" si="22"/>
        <v>0</v>
      </c>
      <c r="E138" s="327"/>
      <c r="F138" s="327"/>
      <c r="G138" s="326"/>
      <c r="H138" s="326"/>
      <c r="I138" s="327"/>
      <c r="J138" s="209">
        <f t="shared" si="23"/>
        <v>0</v>
      </c>
      <c r="K138" s="210"/>
      <c r="L138" s="210"/>
      <c r="M138" s="209"/>
      <c r="N138" s="209"/>
      <c r="O138" s="210"/>
    </row>
    <row r="139" spans="1:20" ht="13.5" thickTop="1" thickBot="1">
      <c r="A139" s="862"/>
      <c r="B139" s="207"/>
      <c r="C139" s="208" t="s">
        <v>90</v>
      </c>
      <c r="D139" s="326">
        <f t="shared" si="22"/>
        <v>0</v>
      </c>
      <c r="E139" s="327"/>
      <c r="F139" s="327"/>
      <c r="G139" s="327"/>
      <c r="H139" s="326"/>
      <c r="I139" s="326"/>
      <c r="J139" s="209">
        <f t="shared" si="23"/>
        <v>0</v>
      </c>
      <c r="K139" s="210"/>
      <c r="L139" s="210"/>
      <c r="M139" s="210"/>
      <c r="N139" s="209"/>
      <c r="O139" s="209"/>
    </row>
    <row r="140" spans="1:20" ht="13.5" thickTop="1" thickBot="1">
      <c r="A140" s="862"/>
      <c r="B140" s="207"/>
      <c r="C140" s="208" t="s">
        <v>91</v>
      </c>
      <c r="D140" s="326">
        <f t="shared" si="22"/>
        <v>0</v>
      </c>
      <c r="E140" s="327"/>
      <c r="F140" s="327"/>
      <c r="G140" s="327"/>
      <c r="H140" s="327"/>
      <c r="I140" s="326"/>
      <c r="J140" s="209">
        <f t="shared" si="23"/>
        <v>0</v>
      </c>
      <c r="K140" s="210"/>
      <c r="L140" s="210"/>
      <c r="M140" s="210"/>
      <c r="N140" s="210"/>
      <c r="O140" s="209"/>
    </row>
    <row r="141" spans="1:20" ht="13.5" thickTop="1" thickBot="1">
      <c r="A141" s="862"/>
      <c r="B141" s="182" t="s">
        <v>254</v>
      </c>
      <c r="C141" s="182" t="s">
        <v>97</v>
      </c>
      <c r="D141" s="324">
        <f t="shared" si="22"/>
        <v>0</v>
      </c>
      <c r="E141" s="324"/>
      <c r="F141" s="324"/>
      <c r="G141" s="324"/>
      <c r="H141" s="324"/>
      <c r="I141" s="324"/>
      <c r="J141" s="196">
        <f t="shared" si="23"/>
        <v>0</v>
      </c>
      <c r="K141" s="196"/>
      <c r="L141" s="196"/>
      <c r="M141" s="196"/>
      <c r="N141" s="185"/>
      <c r="O141" s="196"/>
    </row>
    <row r="142" spans="1:20" ht="13.5" thickTop="1" thickBot="1">
      <c r="A142" s="862"/>
      <c r="B142" s="182" t="s">
        <v>255</v>
      </c>
      <c r="C142" s="182" t="s">
        <v>99</v>
      </c>
      <c r="D142" s="324">
        <f t="shared" si="22"/>
        <v>0</v>
      </c>
      <c r="E142" s="324"/>
      <c r="F142" s="324"/>
      <c r="G142" s="324"/>
      <c r="H142" s="323"/>
      <c r="I142" s="324"/>
      <c r="J142" s="196">
        <f t="shared" si="23"/>
        <v>0</v>
      </c>
      <c r="K142" s="196"/>
      <c r="L142" s="196"/>
      <c r="M142" s="196"/>
      <c r="N142" s="196"/>
      <c r="O142" s="196"/>
    </row>
    <row r="143" spans="1:20" ht="12.75" customHeight="1" thickTop="1" thickBot="1">
      <c r="A143" s="862"/>
      <c r="B143" s="179" t="s">
        <v>100</v>
      </c>
      <c r="C143" s="179" t="s">
        <v>101</v>
      </c>
      <c r="D143" s="181">
        <f t="shared" si="14"/>
        <v>764947.10000000009</v>
      </c>
      <c r="E143" s="233">
        <f>SUM(E144:E147)</f>
        <v>0</v>
      </c>
      <c r="F143" s="233">
        <f>SUM(F144:F147)</f>
        <v>258320</v>
      </c>
      <c r="G143" s="233">
        <f>SUM(G144:G147)</f>
        <v>11467.7</v>
      </c>
      <c r="H143" s="233">
        <f>SUM(H144:H147)</f>
        <v>183163.7</v>
      </c>
      <c r="I143" s="181">
        <f>SUM(I144:I147)</f>
        <v>311995.7</v>
      </c>
      <c r="J143" s="532">
        <f t="shared" si="15"/>
        <v>705746.22600000002</v>
      </c>
      <c r="K143" s="233">
        <f>SUM(K144:K147)</f>
        <v>0</v>
      </c>
      <c r="L143" s="233">
        <f>SUM(L144:L147)</f>
        <v>230761.954</v>
      </c>
      <c r="M143" s="233">
        <f>SUM(M144:M147)</f>
        <v>6239.241</v>
      </c>
      <c r="N143" s="233">
        <f>SUM(N144:N147)</f>
        <v>183767.33499999999</v>
      </c>
      <c r="O143" s="181">
        <f>SUM(O144:O147)</f>
        <v>284977.696</v>
      </c>
      <c r="P143" s="83"/>
      <c r="Q143" s="83"/>
      <c r="R143" s="83"/>
      <c r="S143" s="83"/>
      <c r="T143" s="83"/>
    </row>
    <row r="144" spans="1:20" ht="12.75" customHeight="1" thickTop="1" thickBot="1">
      <c r="A144" s="862"/>
      <c r="B144" s="186" t="s">
        <v>102</v>
      </c>
      <c r="C144" s="187" t="s">
        <v>103</v>
      </c>
      <c r="D144" s="218">
        <f t="shared" si="14"/>
        <v>209472.48606999998</v>
      </c>
      <c r="E144" s="235"/>
      <c r="F144" s="235"/>
      <c r="G144" s="235"/>
      <c r="H144" s="235"/>
      <c r="I144" s="184">
        <f>апрель!I144+май!I144+июнь!I144</f>
        <v>209472.48606999998</v>
      </c>
      <c r="J144" s="218">
        <f t="shared" si="15"/>
        <v>200458.02499999999</v>
      </c>
      <c r="K144" s="235"/>
      <c r="L144" s="235"/>
      <c r="M144" s="235"/>
      <c r="N144" s="235"/>
      <c r="O144" s="184">
        <f>апрель!O144+май!O144+июнь!O144</f>
        <v>200458.02499999999</v>
      </c>
      <c r="P144" s="539"/>
      <c r="Q144" s="24"/>
    </row>
    <row r="145" spans="1:20" ht="12.75" customHeight="1" thickTop="1" thickBot="1">
      <c r="A145" s="862"/>
      <c r="B145" s="186" t="s">
        <v>104</v>
      </c>
      <c r="C145" s="187" t="s">
        <v>206</v>
      </c>
      <c r="D145" s="218">
        <f t="shared" si="14"/>
        <v>0</v>
      </c>
      <c r="E145" s="235"/>
      <c r="F145" s="235"/>
      <c r="G145" s="235"/>
      <c r="H145" s="235"/>
      <c r="I145" s="184">
        <f>апрель!I145+май!I145+июнь!I145</f>
        <v>0</v>
      </c>
      <c r="J145" s="218"/>
      <c r="K145" s="235"/>
      <c r="L145" s="235"/>
      <c r="M145" s="235"/>
      <c r="N145" s="235"/>
      <c r="O145" s="184">
        <f>апрель!O145+май!O145+июнь!O145</f>
        <v>0</v>
      </c>
      <c r="P145" s="539"/>
      <c r="Q145" s="24"/>
    </row>
    <row r="146" spans="1:20" ht="12.75" customHeight="1" thickTop="1" thickBot="1">
      <c r="A146" s="862"/>
      <c r="B146" s="186" t="s">
        <v>106</v>
      </c>
      <c r="C146" s="187" t="s">
        <v>105</v>
      </c>
      <c r="D146" s="218">
        <f t="shared" si="14"/>
        <v>555474.61392999999</v>
      </c>
      <c r="E146" s="184">
        <f>апрель!E146+май!E146+июнь!E146</f>
        <v>0</v>
      </c>
      <c r="F146" s="184">
        <f>апрель!F146+май!F146+июнь!F146</f>
        <v>258320</v>
      </c>
      <c r="G146" s="184">
        <f>апрель!G146+май!G146+июнь!G146</f>
        <v>11467.7</v>
      </c>
      <c r="H146" s="184">
        <f>апрель!H146+май!H146+июнь!H146</f>
        <v>183163.7</v>
      </c>
      <c r="I146" s="184">
        <f>апрель!I146+май!I146+июнь!I146</f>
        <v>102523.21393000001</v>
      </c>
      <c r="J146" s="218">
        <f t="shared" si="15"/>
        <v>431905.80799999996</v>
      </c>
      <c r="K146" s="235"/>
      <c r="L146" s="184">
        <f>апрель!L146+май!L146+июнь!L146</f>
        <v>230761.954</v>
      </c>
      <c r="M146" s="184">
        <f>апрель!M146+май!M146+июнь!M146</f>
        <v>5881.2240000000002</v>
      </c>
      <c r="N146" s="184">
        <f>апрель!N146+май!N146+июнь!N146</f>
        <v>128844.68799999999</v>
      </c>
      <c r="O146" s="184">
        <f>апрель!O146+май!O146+июнь!O146</f>
        <v>66417.94200000001</v>
      </c>
      <c r="P146" s="539"/>
    </row>
    <row r="147" spans="1:20" ht="12.75" customHeight="1" thickTop="1" thickBot="1">
      <c r="A147" s="862"/>
      <c r="B147" s="186" t="s">
        <v>207</v>
      </c>
      <c r="C147" s="187" t="s">
        <v>107</v>
      </c>
      <c r="D147" s="218">
        <f t="shared" si="14"/>
        <v>0</v>
      </c>
      <c r="E147" s="184">
        <f>апрель!E147+май!E147+июнь!E147</f>
        <v>0</v>
      </c>
      <c r="F147" s="184">
        <f>апрель!F147+май!F147+июнь!F147</f>
        <v>0</v>
      </c>
      <c r="G147" s="184">
        <f>апрель!G147+май!G147+июнь!G147</f>
        <v>0</v>
      </c>
      <c r="H147" s="184">
        <f>апрель!H147+май!H147+июнь!H147</f>
        <v>0</v>
      </c>
      <c r="I147" s="184">
        <f>апрель!I147+май!I147+июнь!I147</f>
        <v>0</v>
      </c>
      <c r="J147" s="218">
        <f t="shared" si="15"/>
        <v>73382.393000000011</v>
      </c>
      <c r="K147" s="184">
        <f>апрель!K147+май!K147+июнь!K147</f>
        <v>0</v>
      </c>
      <c r="L147" s="184">
        <f>апрель!L147+май!L147+июнь!L147</f>
        <v>0</v>
      </c>
      <c r="M147" s="184">
        <f>апрель!M147+май!M147+июнь!M147</f>
        <v>358.017</v>
      </c>
      <c r="N147" s="184">
        <f>апрель!N147+май!N147+июнь!N147</f>
        <v>54922.647000000004</v>
      </c>
      <c r="O147" s="184">
        <f>апрель!O147+май!O147+июнь!O147</f>
        <v>18101.728999999999</v>
      </c>
      <c r="P147" s="539"/>
    </row>
    <row r="148" spans="1:20" ht="12.75" customHeight="1" thickTop="1" thickBot="1">
      <c r="A148" s="862"/>
      <c r="B148" s="186" t="s">
        <v>108</v>
      </c>
      <c r="C148" s="186" t="s">
        <v>208</v>
      </c>
      <c r="D148" s="291">
        <f>D150/1.18/D143</f>
        <v>1.1619493417722944</v>
      </c>
      <c r="E148" s="596">
        <v>0.93222000000000005</v>
      </c>
      <c r="F148" s="596">
        <v>0.93222000000000005</v>
      </c>
      <c r="G148" s="596">
        <v>1.21035</v>
      </c>
      <c r="H148" s="596">
        <v>1.94818</v>
      </c>
      <c r="I148" s="596">
        <v>2.8441000000000001</v>
      </c>
      <c r="J148" s="624">
        <f>J150/1.18/J143</f>
        <v>1.1603035022400814</v>
      </c>
      <c r="K148" s="596">
        <v>0.93222000000000005</v>
      </c>
      <c r="L148" s="596">
        <v>0.93222000000000005</v>
      </c>
      <c r="M148" s="596">
        <v>1.21035</v>
      </c>
      <c r="N148" s="596">
        <v>1.94818</v>
      </c>
      <c r="O148" s="596">
        <v>2.8441000000000001</v>
      </c>
      <c r="P148" s="555"/>
    </row>
    <row r="149" spans="1:20" ht="12.75" customHeight="1" thickTop="1" thickBot="1">
      <c r="A149" s="862"/>
      <c r="B149" s="186" t="s">
        <v>205</v>
      </c>
      <c r="C149" s="186" t="s">
        <v>208</v>
      </c>
      <c r="D149" s="291"/>
      <c r="E149" s="289"/>
      <c r="F149" s="290"/>
      <c r="G149" s="290"/>
      <c r="H149" s="290"/>
      <c r="I149" s="598">
        <v>1.5637700000000001</v>
      </c>
      <c r="J149" s="291"/>
      <c r="K149" s="289"/>
      <c r="L149" s="290"/>
      <c r="M149" s="290"/>
      <c r="N149" s="290"/>
      <c r="O149" s="598">
        <v>1.5637700000000001</v>
      </c>
      <c r="P149" s="555"/>
    </row>
    <row r="150" spans="1:20" ht="12.75" customHeight="1" thickTop="1" thickBot="1">
      <c r="A150" s="862"/>
      <c r="B150" s="186" t="s">
        <v>109</v>
      </c>
      <c r="C150" s="219" t="s">
        <v>166</v>
      </c>
      <c r="D150" s="285">
        <f>SUM(E150:I150)</f>
        <v>1048819.139616038</v>
      </c>
      <c r="E150" s="620">
        <f>апрель!E150+май!E150+июнь!E150</f>
        <v>0</v>
      </c>
      <c r="F150" s="620">
        <f>апрель!F150+май!F150+июнь!F150</f>
        <v>171576.54728972571</v>
      </c>
      <c r="G150" s="620">
        <f>апрель!G150+май!G150+июнь!G150</f>
        <v>11949.061294579999</v>
      </c>
      <c r="H150" s="620">
        <f>апрель!H150+май!H150+июнь!H150</f>
        <v>307196.55283077998</v>
      </c>
      <c r="I150" s="620">
        <f>апрель!I150+май!I150+июнь!I150</f>
        <v>558096.97820095229</v>
      </c>
      <c r="J150" s="261">
        <f>SUM(K150:O150)</f>
        <v>966278.18491021357</v>
      </c>
      <c r="K150" s="620">
        <f>апрель!K150+май!K150+июнь!K150</f>
        <v>0</v>
      </c>
      <c r="L150" s="620">
        <f>апрель!L150+май!L150+июнь!L150</f>
        <v>152757.8624845584</v>
      </c>
      <c r="M150" s="620">
        <f>апрель!M150+май!M150+июнь!M150</f>
        <v>6228.7943033652</v>
      </c>
      <c r="N150" s="620">
        <f>апрель!N150+май!N150+июнь!N150</f>
        <v>305678.89840778196</v>
      </c>
      <c r="O150" s="620">
        <f>апрель!O150+май!O150+июнь!O150</f>
        <v>501612.62971450808</v>
      </c>
      <c r="P150" s="556"/>
      <c r="R150" s="24"/>
    </row>
    <row r="151" spans="1:20" ht="12.75" customHeight="1" thickTop="1" thickBot="1">
      <c r="A151" s="863" t="s">
        <v>111</v>
      </c>
      <c r="B151" s="220" t="s">
        <v>112</v>
      </c>
      <c r="C151" s="221" t="s">
        <v>113</v>
      </c>
      <c r="D151" s="222">
        <f>SUM(E151:I151)</f>
        <v>108810</v>
      </c>
      <c r="E151" s="222">
        <f>E44-E34-E46</f>
        <v>0</v>
      </c>
      <c r="F151" s="222">
        <f>F44-F34-F46</f>
        <v>16460</v>
      </c>
      <c r="G151" s="222">
        <f>G44-G34-G46</f>
        <v>6570</v>
      </c>
      <c r="H151" s="222">
        <f>H44-H34-H46</f>
        <v>36520</v>
      </c>
      <c r="I151" s="222">
        <f>I44-I34-I46</f>
        <v>49260</v>
      </c>
      <c r="J151" s="335">
        <f>SUM(K151:O151)</f>
        <v>131878.9040000001</v>
      </c>
      <c r="K151" s="222">
        <f>K44-K34-K46</f>
        <v>0</v>
      </c>
      <c r="L151" s="222">
        <f>L44-L34-L46</f>
        <v>16075.954000000085</v>
      </c>
      <c r="M151" s="222">
        <f>M44-M34-M46</f>
        <v>5509.4100000000017</v>
      </c>
      <c r="N151" s="222">
        <f>N44-N34-N46</f>
        <v>35319.671999999991</v>
      </c>
      <c r="O151" s="222">
        <f>O44-O34-O46</f>
        <v>74973.868000000017</v>
      </c>
      <c r="P151" s="557"/>
    </row>
    <row r="152" spans="1:20" ht="12.75" customHeight="1" thickTop="1" thickBot="1">
      <c r="A152" s="863"/>
      <c r="B152" s="234" t="s">
        <v>114</v>
      </c>
      <c r="C152" s="179" t="s">
        <v>115</v>
      </c>
      <c r="D152" s="346">
        <f t="shared" ref="D152:J152" si="24">IF(D44=0,0,D151/D44*100)</f>
        <v>12.378417118869663</v>
      </c>
      <c r="E152" s="346">
        <f t="shared" si="24"/>
        <v>0</v>
      </c>
      <c r="F152" s="346">
        <f t="shared" si="24"/>
        <v>2.4384101447343083</v>
      </c>
      <c r="G152" s="346">
        <f t="shared" si="24"/>
        <v>2.4959350828939169</v>
      </c>
      <c r="H152" s="346">
        <f t="shared" si="24"/>
        <v>5.7483748091482898</v>
      </c>
      <c r="I152" s="346">
        <f t="shared" si="24"/>
        <v>13.554564966154862</v>
      </c>
      <c r="J152" s="346">
        <f t="shared" si="24"/>
        <v>15.603994753350992</v>
      </c>
      <c r="K152" s="346">
        <f>IF(K44=0,0,K151/K44*100)</f>
        <v>0</v>
      </c>
      <c r="L152" s="346">
        <f t="shared" ref="L152:O152" si="25">IF(L44=0,0,L151/L44*100)</f>
        <v>2.415368148654033</v>
      </c>
      <c r="M152" s="346">
        <f t="shared" si="25"/>
        <v>2.4236232955397745</v>
      </c>
      <c r="N152" s="346">
        <f t="shared" si="25"/>
        <v>5.6923455200528972</v>
      </c>
      <c r="O152" s="346">
        <f t="shared" si="25"/>
        <v>20.647628633136616</v>
      </c>
      <c r="P152" s="558"/>
    </row>
    <row r="153" spans="1:20" ht="12.75" customHeight="1" thickTop="1" thickBot="1">
      <c r="A153" s="863"/>
      <c r="B153" s="234" t="s">
        <v>116</v>
      </c>
      <c r="C153" s="179" t="s">
        <v>117</v>
      </c>
      <c r="D153" s="346">
        <f t="shared" ref="D153:J153" si="26">IF(D45=0,0,D151/D45*100)</f>
        <v>12.378417118869663</v>
      </c>
      <c r="E153" s="346">
        <f t="shared" si="26"/>
        <v>0</v>
      </c>
      <c r="F153" s="346">
        <f t="shared" si="26"/>
        <v>2.4384101447343083</v>
      </c>
      <c r="G153" s="346">
        <f t="shared" si="26"/>
        <v>2.5398597548977349</v>
      </c>
      <c r="H153" s="346">
        <f t="shared" si="26"/>
        <v>6.2631443282614789</v>
      </c>
      <c r="I153" s="346">
        <f t="shared" si="26"/>
        <v>13.635771006519759</v>
      </c>
      <c r="J153" s="346">
        <f t="shared" si="26"/>
        <v>15.603994753350992</v>
      </c>
      <c r="K153" s="346">
        <f>IF(K45=0,0,K151/K45*100)</f>
        <v>0</v>
      </c>
      <c r="L153" s="346">
        <f t="shared" ref="L153:O153" si="27">IF(L45=0,0,L151/L45*100)</f>
        <v>2.415368148654033</v>
      </c>
      <c r="M153" s="346">
        <f t="shared" si="27"/>
        <v>2.4695518800010712</v>
      </c>
      <c r="N153" s="346">
        <f t="shared" si="27"/>
        <v>6.0666311500932757</v>
      </c>
      <c r="O153" s="346">
        <f t="shared" si="27"/>
        <v>20.828876854109186</v>
      </c>
      <c r="P153" s="559"/>
    </row>
    <row r="154" spans="1:20" ht="12.75" customHeight="1" thickTop="1" thickBot="1">
      <c r="A154" s="863"/>
      <c r="B154" s="224" t="s">
        <v>118</v>
      </c>
      <c r="C154" s="225" t="s">
        <v>209</v>
      </c>
      <c r="D154" s="451">
        <f>SUM(E154:I154)</f>
        <v>10791.305155128051</v>
      </c>
      <c r="E154" s="299"/>
      <c r="F154" s="184">
        <f>апрель!F154+май!F154+июнь!F154</f>
        <v>10791.305155128051</v>
      </c>
      <c r="G154" s="299"/>
      <c r="H154" s="299"/>
      <c r="I154" s="442"/>
      <c r="J154" s="451">
        <f>SUM(K154:O154)</f>
        <v>9877.5154557999995</v>
      </c>
      <c r="K154" s="451"/>
      <c r="L154" s="449">
        <f>апрель!L154+май!L154+июнь!L154</f>
        <v>9877.5154557999995</v>
      </c>
      <c r="M154" s="451">
        <v>0</v>
      </c>
      <c r="N154" s="451">
        <v>0</v>
      </c>
      <c r="O154" s="451">
        <v>0</v>
      </c>
      <c r="P154" s="560"/>
    </row>
    <row r="155" spans="1:20" ht="12.75" customHeight="1" thickTop="1" thickBot="1">
      <c r="A155" s="863"/>
      <c r="B155" s="227" t="s">
        <v>120</v>
      </c>
      <c r="C155" s="186" t="s">
        <v>121</v>
      </c>
      <c r="D155" s="251">
        <f>SUM(E155:I155)</f>
        <v>108810</v>
      </c>
      <c r="E155" s="251">
        <f>E151</f>
        <v>0</v>
      </c>
      <c r="F155" s="251">
        <f>F151</f>
        <v>16460</v>
      </c>
      <c r="G155" s="251">
        <f>G151</f>
        <v>6570</v>
      </c>
      <c r="H155" s="251">
        <f>H151</f>
        <v>36520</v>
      </c>
      <c r="I155" s="448">
        <f>I151</f>
        <v>49260</v>
      </c>
      <c r="J155" s="450">
        <f>SUM(K155:O155)</f>
        <v>131878.9040000001</v>
      </c>
      <c r="K155" s="450">
        <f>K151</f>
        <v>0</v>
      </c>
      <c r="L155" s="450">
        <f>L151</f>
        <v>16075.954000000085</v>
      </c>
      <c r="M155" s="450">
        <f>M151</f>
        <v>5509.4100000000017</v>
      </c>
      <c r="N155" s="450">
        <f>N151</f>
        <v>35319.671999999991</v>
      </c>
      <c r="O155" s="450">
        <f>O151</f>
        <v>74973.868000000017</v>
      </c>
      <c r="P155" s="561"/>
    </row>
    <row r="156" spans="1:20" ht="12.75" customHeight="1" thickTop="1" thickBot="1">
      <c r="A156" s="863"/>
      <c r="B156" s="227" t="s">
        <v>122</v>
      </c>
      <c r="C156" s="186" t="s">
        <v>167</v>
      </c>
      <c r="D156" s="228">
        <f>D157/1.18/D155</f>
        <v>1.577595785515052</v>
      </c>
      <c r="E156" s="341">
        <v>1.577595785515052</v>
      </c>
      <c r="F156" s="341">
        <v>1.577595785515052</v>
      </c>
      <c r="G156" s="341">
        <v>1.577595785515052</v>
      </c>
      <c r="H156" s="341">
        <v>1.577595785515052</v>
      </c>
      <c r="I156" s="341">
        <v>1.577595785515052</v>
      </c>
      <c r="J156" s="455">
        <f>J157/1.18/J155</f>
        <v>1.4601567718518453</v>
      </c>
      <c r="K156" s="341">
        <v>1.4601567718518456</v>
      </c>
      <c r="L156" s="341">
        <v>1.4601567718518456</v>
      </c>
      <c r="M156" s="341">
        <v>1.4601567718518456</v>
      </c>
      <c r="N156" s="341">
        <v>1.4601567718518456</v>
      </c>
      <c r="O156" s="341">
        <v>1.4601567718518456</v>
      </c>
      <c r="P156" s="562"/>
    </row>
    <row r="157" spans="1:20" ht="12.75" customHeight="1" thickTop="1" thickBot="1">
      <c r="A157" s="863"/>
      <c r="B157" s="227" t="s">
        <v>124</v>
      </c>
      <c r="C157" s="186" t="s">
        <v>168</v>
      </c>
      <c r="D157" s="251">
        <f>SUM(E157:I157)</f>
        <v>202556.67295783351</v>
      </c>
      <c r="E157" s="251">
        <f>E155*E156*1.18</f>
        <v>0</v>
      </c>
      <c r="F157" s="251">
        <f>F155*F156*1.18</f>
        <v>30641.327422901748</v>
      </c>
      <c r="G157" s="251">
        <f>G155*G156*1.18</f>
        <v>12230.469086783991</v>
      </c>
      <c r="H157" s="251">
        <f>H155*H156*1.18</f>
        <v>67984.281742671446</v>
      </c>
      <c r="I157" s="448">
        <f>I155*I156*1.18</f>
        <v>91700.594705476309</v>
      </c>
      <c r="J157" s="450">
        <f>SUM(K157:O157)</f>
        <v>227225.37219319947</v>
      </c>
      <c r="K157" s="450">
        <f>K155*K156*1.18</f>
        <v>0</v>
      </c>
      <c r="L157" s="450">
        <f>L155*L156*1.18</f>
        <v>27698.627454553091</v>
      </c>
      <c r="M157" s="450">
        <f>M155*M156*1.18</f>
        <v>9492.6307380817689</v>
      </c>
      <c r="N157" s="450">
        <f>N155*N156*1.18</f>
        <v>60855.264735455479</v>
      </c>
      <c r="O157" s="450">
        <f>O155*O156*1.18</f>
        <v>129178.84926510915</v>
      </c>
      <c r="P157" s="561"/>
    </row>
    <row r="158" spans="1:20" ht="12.75" customHeight="1" thickTop="1" thickBot="1">
      <c r="A158" s="863"/>
      <c r="B158" s="229" t="s">
        <v>126</v>
      </c>
      <c r="C158" s="225" t="s">
        <v>127</v>
      </c>
      <c r="D158" s="226">
        <f>SUM(E158:I158)</f>
        <v>97910</v>
      </c>
      <c r="E158" s="226">
        <v>0</v>
      </c>
      <c r="F158" s="184">
        <f>апрель!F158+май!F158+июнь!F158</f>
        <v>16460</v>
      </c>
      <c r="G158" s="184">
        <f>апрель!G158+май!G158+июнь!G158</f>
        <v>6570</v>
      </c>
      <c r="H158" s="184">
        <f>апрель!H158+май!H158+июнь!H158</f>
        <v>36520</v>
      </c>
      <c r="I158" s="449">
        <f>апрель!I158+май!I158+июнь!I158</f>
        <v>38360</v>
      </c>
      <c r="J158" s="456">
        <f>SUM(K158:O158)</f>
        <v>93843.587999999989</v>
      </c>
      <c r="K158" s="451">
        <v>0</v>
      </c>
      <c r="L158" s="534">
        <f>май!L158+июнь!L158+апрель!L158</f>
        <v>16075.954000000042</v>
      </c>
      <c r="M158" s="534">
        <f>май!M158+июнь!M158+апрель!M158</f>
        <v>5509.4100000000108</v>
      </c>
      <c r="N158" s="534">
        <f>май!N158+июнь!N158+апрель!N158</f>
        <v>35319.671999999933</v>
      </c>
      <c r="O158" s="534">
        <f>май!O158+июнь!O158+апрель!O158</f>
        <v>36938.552000000003</v>
      </c>
      <c r="P158" s="563"/>
    </row>
    <row r="159" spans="1:20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28">IF(D44=0,0,D158/D44*100)</f>
        <v>11.138413933540379</v>
      </c>
      <c r="E159" s="345">
        <f t="shared" si="28"/>
        <v>0</v>
      </c>
      <c r="F159" s="345">
        <f t="shared" si="28"/>
        <v>2.4384101447343083</v>
      </c>
      <c r="G159" s="345">
        <f t="shared" si="28"/>
        <v>2.4959350828939169</v>
      </c>
      <c r="H159" s="345">
        <f t="shared" si="28"/>
        <v>5.7483748091482898</v>
      </c>
      <c r="I159" s="345">
        <f t="shared" si="28"/>
        <v>10.555280391833142</v>
      </c>
      <c r="J159" s="345">
        <f t="shared" si="28"/>
        <v>11.103632274557201</v>
      </c>
      <c r="K159" s="345">
        <f>IF(K44=0,0,K158/K44*100)</f>
        <v>0</v>
      </c>
      <c r="L159" s="345">
        <f t="shared" si="28"/>
        <v>2.4153681486540268</v>
      </c>
      <c r="M159" s="345">
        <f t="shared" si="28"/>
        <v>2.4236232955397785</v>
      </c>
      <c r="N159" s="345">
        <f t="shared" si="28"/>
        <v>5.6923455200528874</v>
      </c>
      <c r="O159" s="345">
        <f t="shared" si="28"/>
        <v>10.172791190949436</v>
      </c>
      <c r="P159" s="564"/>
      <c r="Q159" s="25"/>
      <c r="R159" s="25"/>
      <c r="S159" s="25"/>
      <c r="T159" s="25"/>
    </row>
    <row r="160" spans="1:20" ht="12.75" customHeight="1" thickTop="1" thickBot="1">
      <c r="A160" s="863"/>
      <c r="B160" s="230" t="s">
        <v>130</v>
      </c>
      <c r="C160" s="225" t="s">
        <v>131</v>
      </c>
      <c r="D160" s="345">
        <f>IF(D45=0,0,D158/D45*100)</f>
        <v>11.138413933540379</v>
      </c>
      <c r="E160" s="345">
        <f t="shared" ref="E160:J160" si="29">IF(E45=0,0,E158/E45*100)</f>
        <v>0</v>
      </c>
      <c r="F160" s="345">
        <f t="shared" si="29"/>
        <v>2.4384101447343083</v>
      </c>
      <c r="G160" s="345">
        <f t="shared" si="29"/>
        <v>2.5398597548977349</v>
      </c>
      <c r="H160" s="345">
        <f t="shared" si="29"/>
        <v>6.2631443282614789</v>
      </c>
      <c r="I160" s="345">
        <f t="shared" si="29"/>
        <v>10.618517576331667</v>
      </c>
      <c r="J160" s="345">
        <f t="shared" si="29"/>
        <v>11.103632274557201</v>
      </c>
      <c r="K160" s="345">
        <f>IF(K45=0,0,K158/K45*100)</f>
        <v>0</v>
      </c>
      <c r="L160" s="345">
        <f t="shared" ref="L160:O160" si="30">IF(L45=0,0,L158/L45*100)</f>
        <v>2.4153681486540268</v>
      </c>
      <c r="M160" s="345">
        <f t="shared" si="30"/>
        <v>2.4695518800010756</v>
      </c>
      <c r="N160" s="345">
        <f t="shared" si="30"/>
        <v>6.066631150093265</v>
      </c>
      <c r="O160" s="345">
        <f t="shared" si="30"/>
        <v>10.262089596032427</v>
      </c>
      <c r="P160" s="565"/>
      <c r="Q160" s="25"/>
      <c r="R160" s="25"/>
      <c r="S160" s="25"/>
      <c r="T160" s="25"/>
    </row>
    <row r="161" spans="1:20" ht="12.75" customHeight="1" thickTop="1" thickBot="1">
      <c r="A161" s="863"/>
      <c r="B161" s="231" t="s">
        <v>132</v>
      </c>
      <c r="C161" s="186" t="s">
        <v>133</v>
      </c>
      <c r="D161" s="188">
        <f>SUM(E161:I161)</f>
        <v>10900</v>
      </c>
      <c r="E161" s="251">
        <f>E151-E158</f>
        <v>0</v>
      </c>
      <c r="F161" s="188">
        <f>F151-F158</f>
        <v>0</v>
      </c>
      <c r="G161" s="188">
        <f>G151-G158</f>
        <v>0</v>
      </c>
      <c r="H161" s="188">
        <f>H151-H158</f>
        <v>0</v>
      </c>
      <c r="I161" s="450">
        <f>I151-I158</f>
        <v>10900</v>
      </c>
      <c r="J161" s="450">
        <f>SUM(K161:O161)</f>
        <v>38035.316000000108</v>
      </c>
      <c r="K161" s="450">
        <f>K151-K158</f>
        <v>0</v>
      </c>
      <c r="L161" s="450">
        <f>L151-L158</f>
        <v>4.3655745685100555E-11</v>
      </c>
      <c r="M161" s="450">
        <f>M151-M158</f>
        <v>-9.0949470177292824E-12</v>
      </c>
      <c r="N161" s="450">
        <f>N151-N158</f>
        <v>5.8207660913467407E-11</v>
      </c>
      <c r="O161" s="450">
        <f>O151-O158</f>
        <v>38035.316000000013</v>
      </c>
      <c r="P161" s="561"/>
    </row>
    <row r="162" spans="1:20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1.2400031853292834</v>
      </c>
      <c r="E162" s="347">
        <f t="shared" ref="E162:I162" si="31">IF(E44=0,0,E161/E44*100)</f>
        <v>0</v>
      </c>
      <c r="F162" s="347">
        <f t="shared" si="31"/>
        <v>0</v>
      </c>
      <c r="G162" s="347">
        <f t="shared" si="31"/>
        <v>0</v>
      </c>
      <c r="H162" s="347">
        <f t="shared" si="31"/>
        <v>0</v>
      </c>
      <c r="I162" s="347">
        <f t="shared" si="31"/>
        <v>2.9992845743217216</v>
      </c>
      <c r="J162" s="347">
        <f>IF(J44=0,0,J161/J44*100)</f>
        <v>4.5003624787937904</v>
      </c>
      <c r="K162" s="347">
        <f>IF(K44=0,0,K161/K44*100)</f>
        <v>0</v>
      </c>
      <c r="L162" s="347">
        <f t="shared" ref="L162:O162" si="32">IF(L44=0,0,L161/L44*100)</f>
        <v>6.5591564664549338E-15</v>
      </c>
      <c r="M162" s="347">
        <f t="shared" si="32"/>
        <v>-4.0009230505387476E-15</v>
      </c>
      <c r="N162" s="347">
        <f t="shared" si="32"/>
        <v>9.3811210317449843E-15</v>
      </c>
      <c r="O162" s="347">
        <f t="shared" si="32"/>
        <v>10.474837442187182</v>
      </c>
      <c r="P162" s="566"/>
    </row>
    <row r="163" spans="1:20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1.2400031853292834</v>
      </c>
      <c r="E163" s="347">
        <f t="shared" ref="E163:O163" si="33">IF(E45=0,0,E161/E45*100)</f>
        <v>0</v>
      </c>
      <c r="F163" s="347">
        <f t="shared" si="33"/>
        <v>0</v>
      </c>
      <c r="G163" s="347">
        <f t="shared" si="33"/>
        <v>0</v>
      </c>
      <c r="H163" s="347">
        <f t="shared" si="33"/>
        <v>0</v>
      </c>
      <c r="I163" s="347">
        <f t="shared" si="33"/>
        <v>3.0172534301880911</v>
      </c>
      <c r="J163" s="347">
        <f t="shared" si="33"/>
        <v>4.5003624787937904</v>
      </c>
      <c r="K163" s="347">
        <f t="shared" si="33"/>
        <v>0</v>
      </c>
      <c r="L163" s="347">
        <f t="shared" si="33"/>
        <v>6.5591564664549338E-15</v>
      </c>
      <c r="M163" s="347">
        <f t="shared" si="33"/>
        <v>-4.0767420660548913E-15</v>
      </c>
      <c r="N163" s="347">
        <f t="shared" si="33"/>
        <v>9.9979526670493504E-15</v>
      </c>
      <c r="O163" s="347">
        <f t="shared" si="33"/>
        <v>10.56678725807676</v>
      </c>
      <c r="P163" s="566"/>
    </row>
    <row r="164" spans="1:20">
      <c r="A164" s="94" t="s">
        <v>210</v>
      </c>
      <c r="J164" s="81"/>
      <c r="K164" s="81"/>
      <c r="L164" s="316"/>
      <c r="M164" s="82"/>
      <c r="N164" s="82"/>
      <c r="O164" s="82"/>
      <c r="P164" s="82"/>
    </row>
    <row r="165" spans="1:20" ht="12.75" thickBot="1">
      <c r="J165" s="27"/>
      <c r="K165" s="82"/>
      <c r="L165" s="27"/>
      <c r="M165" s="27"/>
      <c r="N165" s="27"/>
      <c r="O165" s="27"/>
      <c r="P165" s="27"/>
    </row>
    <row r="166" spans="1:20" ht="12.75" customHeight="1" thickBot="1">
      <c r="B166" s="854" t="s">
        <v>138</v>
      </c>
      <c r="C166" s="855" t="s">
        <v>139</v>
      </c>
      <c r="D166" s="851" t="s">
        <v>140</v>
      </c>
      <c r="E166" s="851"/>
      <c r="F166" s="851"/>
      <c r="G166" s="851"/>
      <c r="H166" s="851"/>
      <c r="I166" s="851"/>
      <c r="J166" s="869" t="s">
        <v>140</v>
      </c>
      <c r="K166" s="870"/>
      <c r="L166" s="870"/>
      <c r="M166" s="870"/>
      <c r="N166" s="870"/>
      <c r="O166" s="871"/>
      <c r="P166" s="567"/>
    </row>
    <row r="167" spans="1:20">
      <c r="B167" s="854"/>
      <c r="C167" s="855"/>
      <c r="D167" s="28" t="s">
        <v>141</v>
      </c>
      <c r="E167" s="29"/>
      <c r="F167" s="29" t="s">
        <v>5</v>
      </c>
      <c r="G167" s="30" t="s">
        <v>74</v>
      </c>
      <c r="H167" s="30" t="s">
        <v>76</v>
      </c>
      <c r="I167" s="31" t="s">
        <v>8</v>
      </c>
      <c r="J167" s="28" t="s">
        <v>141</v>
      </c>
      <c r="K167" s="29"/>
      <c r="L167" s="29" t="s">
        <v>5</v>
      </c>
      <c r="M167" s="30" t="s">
        <v>74</v>
      </c>
      <c r="N167" s="30" t="s">
        <v>76</v>
      </c>
      <c r="O167" s="31" t="s">
        <v>8</v>
      </c>
      <c r="P167" s="567"/>
    </row>
    <row r="168" spans="1:20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  <c r="P168" s="568"/>
    </row>
    <row r="169" spans="1:20" ht="12.75">
      <c r="B169" s="32" t="s">
        <v>10</v>
      </c>
      <c r="C169" s="33" t="s">
        <v>142</v>
      </c>
      <c r="D169" s="34">
        <f>D174+D175+D176</f>
        <v>879030</v>
      </c>
      <c r="E169" s="35"/>
      <c r="F169" s="36">
        <f>F170+F174+F175+F176</f>
        <v>675030</v>
      </c>
      <c r="G169" s="36">
        <f>G170+G174+G175+G176</f>
        <v>259158</v>
      </c>
      <c r="H169" s="36">
        <f>H170+H174+H175+H176</f>
        <v>585720</v>
      </c>
      <c r="I169" s="37">
        <f>I170+I174+I175+I176</f>
        <v>363420</v>
      </c>
      <c r="J169" s="34">
        <f>J174+J175+J176</f>
        <v>845161.16600000008</v>
      </c>
      <c r="K169" s="35"/>
      <c r="L169" s="36">
        <f>L170+L174+L175+L176</f>
        <v>665569.5120000001</v>
      </c>
      <c r="M169" s="36">
        <f>M170+M174+M175+M176</f>
        <v>223093.51120000001</v>
      </c>
      <c r="N169" s="36">
        <f>N170+N174+N175+N176</f>
        <v>586572.12700000009</v>
      </c>
      <c r="O169" s="37">
        <f>O170+O174+O175+O176</f>
        <v>363111.277</v>
      </c>
      <c r="P169" s="569"/>
      <c r="Q169" s="83"/>
      <c r="R169" s="83"/>
      <c r="S169" s="83"/>
      <c r="T169" s="83"/>
    </row>
    <row r="170" spans="1:20" ht="12.75">
      <c r="B170" s="38" t="s">
        <v>12</v>
      </c>
      <c r="C170" s="39" t="s">
        <v>143</v>
      </c>
      <c r="D170" s="675">
        <f t="shared" ref="D170:D177" si="34">SUM(F170:I170)</f>
        <v>1004298</v>
      </c>
      <c r="E170" s="676"/>
      <c r="F170" s="676"/>
      <c r="G170" s="677">
        <f>SUM(G171:G173)</f>
        <v>129238</v>
      </c>
      <c r="H170" s="677">
        <f>SUM(H171:H173)</f>
        <v>511650</v>
      </c>
      <c r="I170" s="678">
        <f>SUM(I171:I173)</f>
        <v>363410</v>
      </c>
      <c r="J170" s="675">
        <f t="shared" ref="J170:J177" si="35">SUM(L170:O170)</f>
        <v>993185.26120000007</v>
      </c>
      <c r="K170" s="676"/>
      <c r="L170" s="676"/>
      <c r="M170" s="677">
        <f>SUM(M171:M173)</f>
        <v>117521.2332</v>
      </c>
      <c r="N170" s="677">
        <f>SUM(N171:N173)</f>
        <v>512555.23100000003</v>
      </c>
      <c r="O170" s="678">
        <f>SUM(O171:O173)</f>
        <v>363108.79700000002</v>
      </c>
      <c r="P170" s="570"/>
    </row>
    <row r="171" spans="1:20" ht="12.75">
      <c r="B171" s="40" t="s">
        <v>144</v>
      </c>
      <c r="C171" s="41" t="s">
        <v>145</v>
      </c>
      <c r="D171" s="42">
        <f t="shared" si="34"/>
        <v>400250</v>
      </c>
      <c r="E171" s="43"/>
      <c r="F171" s="44"/>
      <c r="G171" s="45">
        <f>G31-G49-G61-G73-G85-G97-G78-G109-G121-G54-G66-G90-G102-G114-G126</f>
        <v>129238</v>
      </c>
      <c r="H171" s="45">
        <f>H31-H49-H61-H73-H85-H97-H78-H54-H109-H66-H90-H102-H114-H121-H126</f>
        <v>271012</v>
      </c>
      <c r="I171" s="46"/>
      <c r="J171" s="42">
        <f t="shared" si="35"/>
        <v>418731.60400000005</v>
      </c>
      <c r="K171" s="43"/>
      <c r="L171" s="44"/>
      <c r="M171" s="45">
        <f>M31-M49-M61-M73-M85-M97-M78-M109-M121-M54-M66-M90-M102-M114-M126</f>
        <v>117521.2332</v>
      </c>
      <c r="N171" s="45">
        <f>N31-N49-N61-N73-N85-N97-N78-N54-N109-N66-N90-N102-N114-N121-N126</f>
        <v>301210.37080000003</v>
      </c>
      <c r="O171" s="46"/>
      <c r="P171" s="571"/>
    </row>
    <row r="172" spans="1:20" ht="12.75">
      <c r="B172" s="47" t="s">
        <v>146</v>
      </c>
      <c r="C172" s="48" t="s">
        <v>6</v>
      </c>
      <c r="D172" s="42">
        <f t="shared" si="34"/>
        <v>240638</v>
      </c>
      <c r="E172" s="43"/>
      <c r="F172" s="44"/>
      <c r="G172" s="49"/>
      <c r="H172" s="45">
        <f>H32-H50-H62-H74-H86-H98-H110-H55-H67-H79-H91-H103-H115-H122-H127</f>
        <v>240638</v>
      </c>
      <c r="I172" s="50">
        <f>I32-I50-I55-I62-I67-I74-I79-I86-I91-I98-I103-I110-I115-I122-I127</f>
        <v>0</v>
      </c>
      <c r="J172" s="42">
        <f t="shared" si="35"/>
        <v>211344.86020000002</v>
      </c>
      <c r="K172" s="43"/>
      <c r="L172" s="44"/>
      <c r="M172" s="49"/>
      <c r="N172" s="45">
        <f>N32-N50-N62-N74-N86-N98-N110-N55-N67-N79-N91-N103-N115-N122-N127</f>
        <v>211344.86020000002</v>
      </c>
      <c r="O172" s="50">
        <f>O32-O50-O55-O62-O67-O74-O79-O86-O91-O98-O103-O110-O115-O122-O127</f>
        <v>0</v>
      </c>
      <c r="P172" s="572"/>
    </row>
    <row r="173" spans="1:20" ht="12.75">
      <c r="B173" s="51" t="s">
        <v>147</v>
      </c>
      <c r="C173" s="52" t="s">
        <v>7</v>
      </c>
      <c r="D173" s="53">
        <f t="shared" si="34"/>
        <v>363410</v>
      </c>
      <c r="E173" s="54"/>
      <c r="F173" s="55"/>
      <c r="G173" s="56"/>
      <c r="H173" s="56"/>
      <c r="I173" s="57">
        <f>I33-I51-I87-I75-I99-I111-I56-I63-I68-I80-I92-I104-I116-I123-I128</f>
        <v>363410</v>
      </c>
      <c r="J173" s="53">
        <f t="shared" si="35"/>
        <v>363108.79700000002</v>
      </c>
      <c r="K173" s="54"/>
      <c r="L173" s="55"/>
      <c r="M173" s="56"/>
      <c r="N173" s="56"/>
      <c r="O173" s="57">
        <f>O33-O51-O87-O75-O99-O111-O56-O63-O68-O80-O92-O104-O116-O123-O128</f>
        <v>363108.79700000002</v>
      </c>
      <c r="P173" s="572"/>
    </row>
    <row r="174" spans="1:20" ht="12.75">
      <c r="B174" s="58" t="s">
        <v>14</v>
      </c>
      <c r="C174" s="39" t="s">
        <v>148</v>
      </c>
      <c r="D174" s="110">
        <f t="shared" si="34"/>
        <v>533635</v>
      </c>
      <c r="E174" s="111"/>
      <c r="F174" s="111">
        <f>F28+E28</f>
        <v>429975</v>
      </c>
      <c r="G174" s="112">
        <f>G28</f>
        <v>95060</v>
      </c>
      <c r="H174" s="112">
        <f>H28</f>
        <v>8600</v>
      </c>
      <c r="I174" s="113">
        <f>I28</f>
        <v>0</v>
      </c>
      <c r="J174" s="110">
        <f t="shared" si="35"/>
        <v>634343.36300000001</v>
      </c>
      <c r="K174" s="111"/>
      <c r="L174" s="111">
        <f>L28+K28</f>
        <v>553103.56500000006</v>
      </c>
      <c r="M174" s="112">
        <f>M28</f>
        <v>73108.603000000003</v>
      </c>
      <c r="N174" s="112">
        <f>N28</f>
        <v>8131.1949999999997</v>
      </c>
      <c r="O174" s="113">
        <f>O28</f>
        <v>0</v>
      </c>
      <c r="P174" s="573"/>
    </row>
    <row r="175" spans="1:20" ht="12.75">
      <c r="B175" s="59" t="s">
        <v>16</v>
      </c>
      <c r="C175" s="60" t="s">
        <v>149</v>
      </c>
      <c r="D175" s="123">
        <f t="shared" si="34"/>
        <v>342595</v>
      </c>
      <c r="E175" s="124"/>
      <c r="F175" s="125">
        <f>F23+F24+F25+E23+E24+E25</f>
        <v>245055</v>
      </c>
      <c r="G175" s="125">
        <f>G23+G24+G25</f>
        <v>32060</v>
      </c>
      <c r="H175" s="125">
        <f>H23+H24+H25</f>
        <v>65470</v>
      </c>
      <c r="I175" s="126">
        <f>I23+I24+I25</f>
        <v>10</v>
      </c>
      <c r="J175" s="123">
        <f t="shared" si="35"/>
        <v>210817.80300000004</v>
      </c>
      <c r="K175" s="124"/>
      <c r="L175" s="125">
        <f>L23+L24+L25+K23+K24+K25</f>
        <v>112465.94700000004</v>
      </c>
      <c r="M175" s="125">
        <f>M23+M24+M25</f>
        <v>32463.674999999999</v>
      </c>
      <c r="N175" s="125">
        <f>N23+N24+N25</f>
        <v>65885.701000000015</v>
      </c>
      <c r="O175" s="126">
        <f>O23+O24+O25</f>
        <v>2.4800000000000004</v>
      </c>
      <c r="P175" s="573"/>
    </row>
    <row r="176" spans="1:20" ht="13.5" thickBot="1">
      <c r="B176" s="61" t="s">
        <v>20</v>
      </c>
      <c r="C176" s="62" t="s">
        <v>150</v>
      </c>
      <c r="D176" s="129">
        <f t="shared" si="34"/>
        <v>2800</v>
      </c>
      <c r="E176" s="130"/>
      <c r="F176" s="131">
        <f>F29+E29</f>
        <v>0</v>
      </c>
      <c r="G176" s="131">
        <f>G29</f>
        <v>2800</v>
      </c>
      <c r="H176" s="131">
        <f>H29</f>
        <v>0</v>
      </c>
      <c r="I176" s="132">
        <f>I29</f>
        <v>0</v>
      </c>
      <c r="J176" s="129">
        <f t="shared" si="35"/>
        <v>0</v>
      </c>
      <c r="K176" s="130"/>
      <c r="L176" s="131">
        <f>L29+K29</f>
        <v>0</v>
      </c>
      <c r="M176" s="131">
        <f>M29</f>
        <v>0</v>
      </c>
      <c r="N176" s="131">
        <f>N29</f>
        <v>0</v>
      </c>
      <c r="O176" s="132">
        <f>O29</f>
        <v>0</v>
      </c>
      <c r="P176" s="573"/>
    </row>
    <row r="177" spans="1:20" ht="12.75">
      <c r="B177" s="63" t="s">
        <v>26</v>
      </c>
      <c r="C177" s="33" t="s">
        <v>151</v>
      </c>
      <c r="D177" s="135">
        <f t="shared" si="34"/>
        <v>108810</v>
      </c>
      <c r="E177" s="136"/>
      <c r="F177" s="136">
        <f>F169-F180-G171-H171</f>
        <v>16460</v>
      </c>
      <c r="G177" s="136">
        <f>G169-G180-H172-I172</f>
        <v>6570</v>
      </c>
      <c r="H177" s="136">
        <f>H169-H180-I173</f>
        <v>36520</v>
      </c>
      <c r="I177" s="137">
        <f>I169-I180</f>
        <v>49260</v>
      </c>
      <c r="J177" s="135">
        <f t="shared" si="35"/>
        <v>131878.9040000001</v>
      </c>
      <c r="K177" s="136"/>
      <c r="L177" s="136">
        <f>L169-L180-M171-N171</f>
        <v>16075.954000000027</v>
      </c>
      <c r="M177" s="136">
        <f>M169-M180-N172-O172</f>
        <v>5509.4099999999744</v>
      </c>
      <c r="N177" s="136">
        <f>N169-N180-O173</f>
        <v>35319.672000000079</v>
      </c>
      <c r="O177" s="137">
        <f>O169-O180</f>
        <v>74973.868000000017</v>
      </c>
      <c r="P177" s="574"/>
      <c r="Q177" s="83"/>
      <c r="R177" s="83"/>
      <c r="S177" s="83"/>
      <c r="T177" s="83"/>
    </row>
    <row r="178" spans="1:20" ht="13.5" thickBot="1">
      <c r="B178" s="64"/>
      <c r="C178" s="65" t="s">
        <v>152</v>
      </c>
      <c r="D178" s="441">
        <f>IF(D169=0,0,D177/D169*100)</f>
        <v>12.378417118869663</v>
      </c>
      <c r="E178" s="140"/>
      <c r="F178" s="441">
        <f t="shared" ref="F178:I178" si="36">IF(F169=0,0,F177/F169*100)</f>
        <v>2.4384101447343083</v>
      </c>
      <c r="G178" s="441">
        <f t="shared" si="36"/>
        <v>2.535133007663279</v>
      </c>
      <c r="H178" s="441">
        <f t="shared" si="36"/>
        <v>6.2350611213549136</v>
      </c>
      <c r="I178" s="441">
        <f t="shared" si="36"/>
        <v>13.554564966154862</v>
      </c>
      <c r="J178" s="441">
        <f>IF(J169=0,0,J177/J169*100)</f>
        <v>15.603994753350994</v>
      </c>
      <c r="K178" s="140"/>
      <c r="L178" s="441">
        <f t="shared" ref="L178:O178" si="37">IF(L169=0,0,L177/L169*100)</f>
        <v>2.4153681486540242</v>
      </c>
      <c r="M178" s="441">
        <f t="shared" si="37"/>
        <v>2.4695518800010596</v>
      </c>
      <c r="N178" s="441">
        <f t="shared" si="37"/>
        <v>6.0213689628658527</v>
      </c>
      <c r="O178" s="441">
        <f t="shared" si="37"/>
        <v>20.647628633136616</v>
      </c>
      <c r="P178" s="575"/>
    </row>
    <row r="179" spans="1:20" ht="26.25" thickBot="1">
      <c r="B179" s="66" t="s">
        <v>38</v>
      </c>
      <c r="C179" s="67" t="s">
        <v>153</v>
      </c>
      <c r="D179" s="143">
        <f t="shared" ref="D179:D184" si="38">SUM(F179:I179)</f>
        <v>0</v>
      </c>
      <c r="E179" s="144"/>
      <c r="F179" s="144"/>
      <c r="G179" s="145"/>
      <c r="H179" s="145"/>
      <c r="I179" s="146"/>
      <c r="J179" s="143">
        <f t="shared" ref="J179:J184" si="39">SUM(L179:O179)</f>
        <v>0</v>
      </c>
      <c r="K179" s="144"/>
      <c r="L179" s="144"/>
      <c r="M179" s="145"/>
      <c r="N179" s="145"/>
      <c r="O179" s="146"/>
      <c r="P179" s="574"/>
    </row>
    <row r="180" spans="1:20" s="83" customFormat="1" ht="13.5" thickBot="1">
      <c r="B180" s="147" t="s">
        <v>52</v>
      </c>
      <c r="C180" s="148" t="s">
        <v>154</v>
      </c>
      <c r="D180" s="143">
        <f t="shared" si="38"/>
        <v>770220</v>
      </c>
      <c r="E180" s="144"/>
      <c r="F180" s="682">
        <f>F143+E143</f>
        <v>258320</v>
      </c>
      <c r="G180" s="682">
        <f>G143+G194</f>
        <v>11950</v>
      </c>
      <c r="H180" s="682">
        <f>H143+H194</f>
        <v>185790</v>
      </c>
      <c r="I180" s="682">
        <f>I143+I194</f>
        <v>314160</v>
      </c>
      <c r="J180" s="143">
        <f t="shared" si="39"/>
        <v>713282.26199999999</v>
      </c>
      <c r="K180" s="144"/>
      <c r="L180" s="682">
        <f>L143+K143</f>
        <v>230761.954</v>
      </c>
      <c r="M180" s="682">
        <f>M143+M194</f>
        <v>6239.241</v>
      </c>
      <c r="N180" s="682">
        <f>N143+N194</f>
        <v>188143.658</v>
      </c>
      <c r="O180" s="682">
        <f>O143+O194</f>
        <v>288137.40899999999</v>
      </c>
      <c r="P180" s="576"/>
    </row>
    <row r="181" spans="1:20" ht="12.75">
      <c r="B181" s="70" t="s">
        <v>54</v>
      </c>
      <c r="C181" s="71" t="s">
        <v>155</v>
      </c>
      <c r="D181" s="151">
        <f t="shared" si="38"/>
        <v>0</v>
      </c>
      <c r="E181" s="152"/>
      <c r="F181" s="152"/>
      <c r="G181" s="153"/>
      <c r="H181" s="153"/>
      <c r="I181" s="154"/>
      <c r="J181" s="151">
        <f t="shared" si="39"/>
        <v>0</v>
      </c>
      <c r="K181" s="152"/>
      <c r="L181" s="152"/>
      <c r="M181" s="153"/>
      <c r="N181" s="153"/>
      <c r="O181" s="154"/>
      <c r="P181" s="573"/>
    </row>
    <row r="182" spans="1:20" ht="12.75">
      <c r="B182" s="72" t="s">
        <v>156</v>
      </c>
      <c r="C182" s="73" t="s">
        <v>157</v>
      </c>
      <c r="D182" s="157">
        <f t="shared" si="38"/>
        <v>0</v>
      </c>
      <c r="E182" s="158"/>
      <c r="F182" s="159"/>
      <c r="G182" s="159"/>
      <c r="H182" s="159"/>
      <c r="I182" s="160"/>
      <c r="J182" s="157">
        <f t="shared" si="39"/>
        <v>0</v>
      </c>
      <c r="K182" s="158"/>
      <c r="L182" s="159"/>
      <c r="M182" s="159"/>
      <c r="N182" s="159"/>
      <c r="O182" s="160"/>
      <c r="P182" s="577"/>
    </row>
    <row r="183" spans="1:20" ht="12.75">
      <c r="B183" s="74" t="s">
        <v>158</v>
      </c>
      <c r="C183" s="75" t="s">
        <v>159</v>
      </c>
      <c r="D183" s="163">
        <f t="shared" si="38"/>
        <v>0</v>
      </c>
      <c r="E183" s="164"/>
      <c r="F183" s="164"/>
      <c r="G183" s="165"/>
      <c r="H183" s="165"/>
      <c r="I183" s="166"/>
      <c r="J183" s="163">
        <f t="shared" si="39"/>
        <v>0</v>
      </c>
      <c r="K183" s="164"/>
      <c r="L183" s="164"/>
      <c r="M183" s="165"/>
      <c r="N183" s="165"/>
      <c r="O183" s="166"/>
      <c r="P183" s="577"/>
    </row>
    <row r="184" spans="1:20" ht="12.75">
      <c r="B184" s="76" t="s">
        <v>56</v>
      </c>
      <c r="C184" s="77" t="s">
        <v>160</v>
      </c>
      <c r="D184" s="110">
        <f t="shared" si="38"/>
        <v>0</v>
      </c>
      <c r="E184" s="111"/>
      <c r="F184" s="111"/>
      <c r="G184" s="112"/>
      <c r="H184" s="112"/>
      <c r="I184" s="113"/>
      <c r="J184" s="110">
        <f t="shared" si="39"/>
        <v>0</v>
      </c>
      <c r="K184" s="111"/>
      <c r="L184" s="111"/>
      <c r="M184" s="112"/>
      <c r="N184" s="112"/>
      <c r="O184" s="113"/>
      <c r="P184" s="573"/>
    </row>
    <row r="185" spans="1:20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  <c r="P185" s="573"/>
    </row>
    <row r="186" spans="1:20" ht="15" customHeight="1"/>
    <row r="187" spans="1:20" ht="15" customHeight="1"/>
    <row r="189" spans="1:20" ht="12.75" customHeight="1">
      <c r="A189" s="832" t="s">
        <v>211</v>
      </c>
      <c r="B189" s="832"/>
      <c r="C189" s="832"/>
      <c r="D189" s="832"/>
      <c r="E189" s="832"/>
      <c r="F189" s="832"/>
      <c r="G189" s="832"/>
      <c r="H189" s="832"/>
      <c r="I189" s="832"/>
      <c r="J189" s="832"/>
      <c r="K189" s="832"/>
      <c r="L189" s="832"/>
      <c r="M189" s="832"/>
      <c r="N189" s="832"/>
      <c r="O189" s="832"/>
      <c r="P189" s="529"/>
    </row>
    <row r="190" spans="1:20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</row>
    <row r="191" spans="1:20" ht="12.75">
      <c r="A191" s="171"/>
      <c r="B191" s="171"/>
      <c r="C191" s="171"/>
      <c r="D191" s="171"/>
      <c r="E191" s="171"/>
      <c r="F191" s="171"/>
      <c r="G191" s="171"/>
      <c r="H191" s="171"/>
      <c r="I191" s="171"/>
      <c r="J191" s="239"/>
      <c r="K191" s="171"/>
      <c r="L191" s="171"/>
      <c r="M191" s="171"/>
      <c r="N191" s="171"/>
      <c r="O191" s="171"/>
      <c r="P191" s="171"/>
    </row>
    <row r="194" spans="1:16">
      <c r="A194" s="523"/>
      <c r="B194" s="524"/>
      <c r="C194" s="523" t="s">
        <v>193</v>
      </c>
      <c r="D194" s="523"/>
      <c r="E194" s="523"/>
      <c r="F194" s="523"/>
      <c r="G194" s="528">
        <f>апрель!G194+май!G194+июнь!G194</f>
        <v>482.29999999999995</v>
      </c>
      <c r="H194" s="528">
        <f>апрель!H194+май!H194+июнь!H194</f>
        <v>2626.3</v>
      </c>
      <c r="I194" s="528">
        <f>апрель!I194+май!I194+июнь!I194</f>
        <v>2164.3000000000002</v>
      </c>
      <c r="J194" s="523"/>
      <c r="K194" s="523"/>
      <c r="L194" s="523"/>
      <c r="M194" s="528">
        <f>апрель!M194+май!M194+июнь!M194</f>
        <v>0</v>
      </c>
      <c r="N194" s="528">
        <f>апрель!N194+май!N194+июнь!N194</f>
        <v>4376.3229999999994</v>
      </c>
      <c r="O194" s="528">
        <f>апрель!O194+май!O194+июнь!O194</f>
        <v>3159.7129999999997</v>
      </c>
      <c r="P194" s="539"/>
    </row>
    <row r="195" spans="1:16">
      <c r="A195" s="523"/>
      <c r="B195" s="524"/>
      <c r="C195" s="523" t="s">
        <v>196</v>
      </c>
      <c r="D195" s="523"/>
      <c r="E195" s="523"/>
      <c r="F195" s="528">
        <f>апрель!F195+май!F195+июнь!F195</f>
        <v>30284.74476463921</v>
      </c>
      <c r="G195" s="523"/>
      <c r="H195" s="523"/>
      <c r="I195" s="523"/>
      <c r="J195" s="523"/>
      <c r="K195" s="523"/>
      <c r="L195" s="528">
        <f>апрель!L195+май!L195+июнь!L195</f>
        <v>26784.4673</v>
      </c>
      <c r="M195" s="523"/>
      <c r="N195" s="523"/>
      <c r="O195" s="523"/>
      <c r="P195" s="508"/>
    </row>
    <row r="199" spans="1:16">
      <c r="M199" s="321"/>
      <c r="N199" s="321"/>
      <c r="O199" s="321"/>
    </row>
  </sheetData>
  <mergeCells count="25"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  <mergeCell ref="A6:A29"/>
    <mergeCell ref="A30:A43"/>
    <mergeCell ref="I4:I5"/>
    <mergeCell ref="J4:J5"/>
    <mergeCell ref="K4:L4"/>
    <mergeCell ref="A189:O189"/>
    <mergeCell ref="D166:I166"/>
    <mergeCell ref="J166:O166"/>
    <mergeCell ref="A46:A150"/>
    <mergeCell ref="A151:A163"/>
    <mergeCell ref="B166:B167"/>
    <mergeCell ref="C166:C167"/>
  </mergeCells>
  <phoneticPr fontId="0" type="noConversion"/>
  <pageMargins left="0.86614173228346458" right="0.27559055118110237" top="0.74803149606299213" bottom="0.55118110236220474" header="0.51181102362204722" footer="0.51181102362204722"/>
  <pageSetup paperSize="9" scale="63" firstPageNumber="0" orientation="landscape" horizontalDpi="300" verticalDpi="300" r:id="rId1"/>
  <headerFooter alignWithMargins="0"/>
  <rowBreaks count="2" manualBreakCount="2">
    <brk id="58" max="14" man="1"/>
    <brk id="11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199"/>
  <sheetViews>
    <sheetView view="pageBreakPreview" zoomScale="90" zoomScaleSheetLayoutView="90" workbookViewId="0">
      <pane xSplit="3" ySplit="5" topLeftCell="D45" activePane="bottomRight" state="frozen"/>
      <selection pane="topRight" activeCell="D1" sqref="D1"/>
      <selection pane="bottomLeft" activeCell="A63" sqref="A63"/>
      <selection pane="bottomRight" activeCell="N57" sqref="N57"/>
    </sheetView>
  </sheetViews>
  <sheetFormatPr defaultRowHeight="12"/>
  <cols>
    <col min="1" max="1" width="3" style="1" customWidth="1"/>
    <col min="2" max="2" width="6.140625" style="2" customWidth="1"/>
    <col min="3" max="3" width="58.140625" style="1" customWidth="1"/>
    <col min="4" max="4" width="12.28515625" style="1" customWidth="1"/>
    <col min="5" max="5" width="10.5703125" style="1" customWidth="1"/>
    <col min="6" max="6" width="11.85546875" style="1" customWidth="1"/>
    <col min="7" max="7" width="11.140625" style="1" customWidth="1"/>
    <col min="8" max="8" width="10.5703125" style="1" customWidth="1"/>
    <col min="9" max="9" width="11.85546875" style="1" customWidth="1"/>
    <col min="10" max="10" width="12.7109375" style="1" customWidth="1"/>
    <col min="11" max="11" width="11.140625" style="1" customWidth="1"/>
    <col min="12" max="12" width="11.28515625" style="1" customWidth="1"/>
    <col min="13" max="13" width="12.28515625" style="1" customWidth="1"/>
    <col min="14" max="14" width="11.140625" style="1" customWidth="1"/>
    <col min="15" max="15" width="11.5703125" style="1" customWidth="1"/>
    <col min="16" max="16" width="16.140625" style="1" customWidth="1"/>
    <col min="17" max="17" width="10" style="1" customWidth="1"/>
    <col min="18" max="16384" width="9.140625" style="1"/>
  </cols>
  <sheetData>
    <row r="1" spans="1:15" ht="15.75">
      <c r="A1" s="817" t="s">
        <v>223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>
      <c r="A3" s="856"/>
      <c r="B3" s="857" t="s">
        <v>0</v>
      </c>
      <c r="C3" s="858" t="s">
        <v>1</v>
      </c>
      <c r="D3" s="867" t="s">
        <v>2</v>
      </c>
      <c r="E3" s="867"/>
      <c r="F3" s="867"/>
      <c r="G3" s="867"/>
      <c r="H3" s="867"/>
      <c r="I3" s="867"/>
      <c r="J3" s="867" t="s">
        <v>3</v>
      </c>
      <c r="K3" s="867"/>
      <c r="L3" s="867"/>
      <c r="M3" s="867"/>
      <c r="N3" s="867"/>
      <c r="O3" s="867"/>
    </row>
    <row r="4" spans="1:15" s="3" customFormat="1" ht="12.75" customHeight="1" thickTop="1" thickBot="1">
      <c r="A4" s="856"/>
      <c r="B4" s="857"/>
      <c r="C4" s="858"/>
      <c r="D4" s="865" t="s">
        <v>4</v>
      </c>
      <c r="E4" s="866" t="s">
        <v>5</v>
      </c>
      <c r="F4" s="866"/>
      <c r="G4" s="868" t="s">
        <v>6</v>
      </c>
      <c r="H4" s="868" t="s">
        <v>7</v>
      </c>
      <c r="I4" s="864" t="s">
        <v>8</v>
      </c>
      <c r="J4" s="865" t="s">
        <v>4</v>
      </c>
      <c r="K4" s="866" t="s">
        <v>5</v>
      </c>
      <c r="L4" s="866"/>
      <c r="M4" s="868" t="s">
        <v>6</v>
      </c>
      <c r="N4" s="868" t="s">
        <v>7</v>
      </c>
      <c r="O4" s="864" t="s">
        <v>8</v>
      </c>
    </row>
    <row r="5" spans="1:15" s="6" customFormat="1" ht="13.5" thickTop="1" thickBot="1">
      <c r="A5" s="856"/>
      <c r="B5" s="857"/>
      <c r="C5" s="858"/>
      <c r="D5" s="865"/>
      <c r="E5" s="4">
        <v>220</v>
      </c>
      <c r="F5" s="4">
        <v>110</v>
      </c>
      <c r="G5" s="868"/>
      <c r="H5" s="868"/>
      <c r="I5" s="864"/>
      <c r="J5" s="865"/>
      <c r="K5" s="5">
        <v>220</v>
      </c>
      <c r="L5" s="178">
        <v>110</v>
      </c>
      <c r="M5" s="868"/>
      <c r="N5" s="868"/>
      <c r="O5" s="864"/>
    </row>
    <row r="6" spans="1:15" ht="13.5" thickTop="1" thickBot="1">
      <c r="A6" s="862" t="s">
        <v>9</v>
      </c>
      <c r="B6" s="179" t="s">
        <v>10</v>
      </c>
      <c r="C6" s="179" t="s">
        <v>11</v>
      </c>
      <c r="D6" s="180">
        <f t="shared" ref="D6:I6" si="0">SUM(D7:D9,D12,D14)</f>
        <v>2652840</v>
      </c>
      <c r="E6" s="181">
        <f t="shared" si="0"/>
        <v>0</v>
      </c>
      <c r="F6" s="181">
        <f t="shared" si="0"/>
        <v>2144750</v>
      </c>
      <c r="G6" s="181">
        <f t="shared" si="0"/>
        <v>309320</v>
      </c>
      <c r="H6" s="181">
        <f t="shared" si="0"/>
        <v>198710</v>
      </c>
      <c r="I6" s="181">
        <f t="shared" si="0"/>
        <v>60</v>
      </c>
      <c r="J6" s="180">
        <f t="shared" ref="J6:O6" si="1">SUM(J7:J9,J12,J14)</f>
        <v>2587635.662</v>
      </c>
      <c r="K6" s="181">
        <f t="shared" si="1"/>
        <v>0</v>
      </c>
      <c r="L6" s="181">
        <f t="shared" si="1"/>
        <v>2159815.9500000002</v>
      </c>
      <c r="M6" s="181">
        <f t="shared" si="1"/>
        <v>242064.77399999998</v>
      </c>
      <c r="N6" s="181">
        <f t="shared" si="1"/>
        <v>185712.78700000001</v>
      </c>
      <c r="O6" s="181">
        <f t="shared" si="1"/>
        <v>42.150999999999996</v>
      </c>
    </row>
    <row r="7" spans="1:15" ht="13.5" thickTop="1" thickBot="1">
      <c r="A7" s="862"/>
      <c r="B7" s="182" t="s">
        <v>12</v>
      </c>
      <c r="C7" s="182" t="s">
        <v>13</v>
      </c>
      <c r="D7" s="183">
        <f>SUM(E7:I7)</f>
        <v>0</v>
      </c>
      <c r="E7" s="235"/>
      <c r="F7" s="235"/>
      <c r="G7" s="235"/>
      <c r="H7" s="235"/>
      <c r="I7" s="235"/>
      <c r="J7" s="183">
        <f>SUM(K7:O7)</f>
        <v>0</v>
      </c>
      <c r="K7" s="235"/>
      <c r="L7" s="235"/>
      <c r="M7" s="235"/>
      <c r="N7" s="235"/>
      <c r="O7" s="235"/>
    </row>
    <row r="8" spans="1:15" ht="13.5" thickTop="1" thickBot="1">
      <c r="A8" s="862"/>
      <c r="B8" s="182" t="s">
        <v>14</v>
      </c>
      <c r="C8" s="182" t="s">
        <v>15</v>
      </c>
      <c r="D8" s="183">
        <f>SUM(E8:I8)</f>
        <v>1327825</v>
      </c>
      <c r="E8" s="184">
        <f>'1 квартал'!E8+'2 квартал'!E8</f>
        <v>0</v>
      </c>
      <c r="F8" s="184">
        <f>'1 квартал'!F8+'2 квартал'!F8</f>
        <v>1059915</v>
      </c>
      <c r="G8" s="184">
        <f>'1 квартал'!G8+'2 квартал'!G8</f>
        <v>87660</v>
      </c>
      <c r="H8" s="184">
        <f>'1 квартал'!H8+'2 квартал'!H8</f>
        <v>180190</v>
      </c>
      <c r="I8" s="184">
        <f>'1 квартал'!I8+'2 квартал'!I8</f>
        <v>60</v>
      </c>
      <c r="J8" s="183">
        <f>SUM(K8:O8)</f>
        <v>1105910.2340000002</v>
      </c>
      <c r="K8" s="184">
        <f>'1 квартал'!K8+'2 квартал'!K8</f>
        <v>0</v>
      </c>
      <c r="L8" s="184">
        <f>'1 квартал'!L8+'2 квартал'!L8</f>
        <v>858662.07200000004</v>
      </c>
      <c r="M8" s="184">
        <f>'1 квартал'!M8+'2 квартал'!M8</f>
        <v>78127.12</v>
      </c>
      <c r="N8" s="184">
        <f>'1 квартал'!N8+'2 квартал'!N8</f>
        <v>169078.891</v>
      </c>
      <c r="O8" s="184">
        <f>'1 квартал'!O8+'2 квартал'!O8</f>
        <v>42.150999999999996</v>
      </c>
    </row>
    <row r="9" spans="1:15" ht="13.5" thickTop="1" thickBot="1">
      <c r="A9" s="862"/>
      <c r="B9" s="182" t="s">
        <v>16</v>
      </c>
      <c r="C9" s="182" t="s">
        <v>17</v>
      </c>
      <c r="D9" s="183">
        <f t="shared" ref="D9:I9" si="2">SUM(D10:D11)</f>
        <v>76550</v>
      </c>
      <c r="E9" s="185">
        <f t="shared" si="2"/>
        <v>0</v>
      </c>
      <c r="F9" s="185">
        <f t="shared" si="2"/>
        <v>76550</v>
      </c>
      <c r="G9" s="185">
        <f t="shared" si="2"/>
        <v>0</v>
      </c>
      <c r="H9" s="185">
        <f t="shared" si="2"/>
        <v>0</v>
      </c>
      <c r="I9" s="185">
        <f t="shared" si="2"/>
        <v>0</v>
      </c>
      <c r="J9" s="183">
        <f t="shared" ref="J9:O9" si="3">SUM(J10:J11)</f>
        <v>65660.788</v>
      </c>
      <c r="K9" s="185">
        <f t="shared" si="3"/>
        <v>0</v>
      </c>
      <c r="L9" s="185">
        <f t="shared" si="3"/>
        <v>65660.788</v>
      </c>
      <c r="M9" s="185">
        <f t="shared" si="3"/>
        <v>0</v>
      </c>
      <c r="N9" s="185">
        <f t="shared" si="3"/>
        <v>0</v>
      </c>
      <c r="O9" s="185">
        <f t="shared" si="3"/>
        <v>0</v>
      </c>
    </row>
    <row r="10" spans="1:15" ht="13.5" thickTop="1" thickBot="1">
      <c r="A10" s="862"/>
      <c r="B10" s="186" t="s">
        <v>18</v>
      </c>
      <c r="C10" s="187" t="s">
        <v>192</v>
      </c>
      <c r="D10" s="188">
        <f>SUM(F10:I10)</f>
        <v>69200</v>
      </c>
      <c r="E10" s="235"/>
      <c r="F10" s="184">
        <f>'1 квартал'!F10+'2 квартал'!F10</f>
        <v>69200</v>
      </c>
      <c r="G10" s="235"/>
      <c r="H10" s="235"/>
      <c r="I10" s="235"/>
      <c r="J10" s="188">
        <f>SUM(L10:O10)</f>
        <v>58844.043999999994</v>
      </c>
      <c r="K10" s="235"/>
      <c r="L10" s="184">
        <f>'1 квартал'!L10+'2 квартал'!L10</f>
        <v>58844.043999999994</v>
      </c>
      <c r="M10" s="235"/>
      <c r="N10" s="235"/>
      <c r="O10" s="235"/>
    </row>
    <row r="11" spans="1:15" ht="13.5" thickTop="1" thickBot="1">
      <c r="A11" s="862"/>
      <c r="B11" s="186" t="s">
        <v>19</v>
      </c>
      <c r="C11" s="187" t="s">
        <v>191</v>
      </c>
      <c r="D11" s="188">
        <f>SUM(F11:I11)</f>
        <v>7350</v>
      </c>
      <c r="E11" s="235"/>
      <c r="F11" s="184">
        <f>'1 квартал'!F11+'2 квартал'!F11</f>
        <v>7350</v>
      </c>
      <c r="G11" s="235"/>
      <c r="H11" s="235"/>
      <c r="I11" s="235"/>
      <c r="J11" s="188">
        <f>SUM(L11:O11)</f>
        <v>6816.7440000000006</v>
      </c>
      <c r="K11" s="235"/>
      <c r="L11" s="184">
        <f>'1 квартал'!L11+'2 квартал'!L11</f>
        <v>6816.7440000000006</v>
      </c>
      <c r="M11" s="235"/>
      <c r="N11" s="235"/>
      <c r="O11" s="235"/>
    </row>
    <row r="12" spans="1:15" ht="13.5" thickTop="1" thickBot="1">
      <c r="A12" s="862"/>
      <c r="B12" s="182" t="s">
        <v>20</v>
      </c>
      <c r="C12" s="182" t="s">
        <v>21</v>
      </c>
      <c r="D12" s="183">
        <f>SUM(E12:I12)</f>
        <v>1237965</v>
      </c>
      <c r="E12" s="235"/>
      <c r="F12" s="184">
        <f>'1 квартал'!F12+'2 квартал'!F12</f>
        <v>1008285</v>
      </c>
      <c r="G12" s="184">
        <f>'1 квартал'!G12+'2 квартал'!G12</f>
        <v>211160</v>
      </c>
      <c r="H12" s="184">
        <f>'1 квартал'!H12+'2 квартал'!H12</f>
        <v>18520</v>
      </c>
      <c r="I12" s="235"/>
      <c r="J12" s="183">
        <f>SUM(K12:O12)</f>
        <v>1414288.84</v>
      </c>
      <c r="K12" s="235"/>
      <c r="L12" s="184">
        <f>'1 квартал'!L12+'2 квартал'!L12</f>
        <v>1235493.0900000001</v>
      </c>
      <c r="M12" s="184">
        <f>'1 квартал'!M12+'2 квартал'!M12</f>
        <v>162161.85399999999</v>
      </c>
      <c r="N12" s="184">
        <f>'1 квартал'!N12+'2 квартал'!N12</f>
        <v>16633.896000000001</v>
      </c>
      <c r="O12" s="235"/>
    </row>
    <row r="13" spans="1:15" ht="13.5" thickTop="1" thickBot="1">
      <c r="A13" s="862"/>
      <c r="B13" s="186" t="s">
        <v>22</v>
      </c>
      <c r="C13" s="187" t="s">
        <v>23</v>
      </c>
      <c r="D13" s="183">
        <f>SUM(E13:I13)</f>
        <v>0</v>
      </c>
      <c r="E13" s="235"/>
      <c r="F13" s="235"/>
      <c r="G13" s="235"/>
      <c r="H13" s="235"/>
      <c r="I13" s="235"/>
      <c r="J13" s="183">
        <f>SUM(K13:O13)</f>
        <v>0</v>
      </c>
      <c r="K13" s="235"/>
      <c r="L13" s="235"/>
      <c r="M13" s="235"/>
      <c r="N13" s="235"/>
      <c r="O13" s="235"/>
    </row>
    <row r="14" spans="1:15" ht="13.5" thickTop="1" thickBot="1">
      <c r="A14" s="862"/>
      <c r="B14" s="182" t="s">
        <v>24</v>
      </c>
      <c r="C14" s="182" t="s">
        <v>25</v>
      </c>
      <c r="D14" s="183">
        <f>SUM(E14:I14)</f>
        <v>10500</v>
      </c>
      <c r="E14" s="235"/>
      <c r="F14" s="235"/>
      <c r="G14" s="184">
        <f>'1 квартал'!G14+'2 квартал'!G14</f>
        <v>10500</v>
      </c>
      <c r="H14" s="235"/>
      <c r="I14" s="235"/>
      <c r="J14" s="183">
        <f>SUM(K14:O14)</f>
        <v>1775.7999999999993</v>
      </c>
      <c r="K14" s="235"/>
      <c r="L14" s="235"/>
      <c r="M14" s="184">
        <f>'1 квартал'!M14+'2 квартал'!M14</f>
        <v>1775.7999999999993</v>
      </c>
      <c r="N14" s="235"/>
      <c r="O14" s="235"/>
    </row>
    <row r="15" spans="1:15" ht="13.5" thickTop="1" thickBot="1">
      <c r="A15" s="862"/>
      <c r="B15" s="179" t="s">
        <v>26</v>
      </c>
      <c r="C15" s="179" t="s">
        <v>27</v>
      </c>
      <c r="D15" s="180">
        <f t="shared" ref="D15:I15" si="4">SUM(D16:D18,D21)</f>
        <v>635580</v>
      </c>
      <c r="E15" s="189">
        <f t="shared" si="4"/>
        <v>0</v>
      </c>
      <c r="F15" s="189">
        <f t="shared" si="4"/>
        <v>632840</v>
      </c>
      <c r="G15" s="189">
        <f t="shared" si="4"/>
        <v>2450</v>
      </c>
      <c r="H15" s="189">
        <f t="shared" si="4"/>
        <v>110</v>
      </c>
      <c r="I15" s="189">
        <f t="shared" si="4"/>
        <v>180</v>
      </c>
      <c r="J15" s="180">
        <f t="shared" ref="J15:O15" si="5">SUM(J16:J18,J21)</f>
        <v>656391.79399999988</v>
      </c>
      <c r="K15" s="189">
        <f t="shared" si="5"/>
        <v>0</v>
      </c>
      <c r="L15" s="189">
        <f t="shared" si="5"/>
        <v>654509.64299999992</v>
      </c>
      <c r="M15" s="189">
        <f t="shared" si="5"/>
        <v>1590.3209999999999</v>
      </c>
      <c r="N15" s="189">
        <f t="shared" si="5"/>
        <v>160.673</v>
      </c>
      <c r="O15" s="189">
        <f t="shared" si="5"/>
        <v>131.15700000000001</v>
      </c>
    </row>
    <row r="16" spans="1:15" ht="13.5" thickTop="1" thickBot="1">
      <c r="A16" s="862"/>
      <c r="B16" s="182" t="s">
        <v>28</v>
      </c>
      <c r="C16" s="182" t="s">
        <v>29</v>
      </c>
      <c r="D16" s="183">
        <f>SUM(E16:I16)</f>
        <v>0</v>
      </c>
      <c r="E16" s="235"/>
      <c r="F16" s="235"/>
      <c r="G16" s="235"/>
      <c r="H16" s="235"/>
      <c r="I16" s="235"/>
      <c r="J16" s="183">
        <f>SUM(K16:O16)</f>
        <v>0</v>
      </c>
      <c r="K16" s="235"/>
      <c r="L16" s="235"/>
      <c r="M16" s="235"/>
      <c r="N16" s="235"/>
      <c r="O16" s="235"/>
    </row>
    <row r="17" spans="1:15" ht="13.5" thickTop="1" thickBot="1">
      <c r="A17" s="862"/>
      <c r="B17" s="182" t="s">
        <v>30</v>
      </c>
      <c r="C17" s="182" t="s">
        <v>31</v>
      </c>
      <c r="D17" s="183">
        <f>SUM(E17:I17)</f>
        <v>604360</v>
      </c>
      <c r="E17" s="184">
        <f>'1 квартал'!E17+'2 квартал'!E17</f>
        <v>0</v>
      </c>
      <c r="F17" s="184">
        <f>'1 квартал'!F17+'2 квартал'!F17</f>
        <v>604070</v>
      </c>
      <c r="G17" s="184">
        <f>'1 квартал'!G17+'2 квартал'!G17</f>
        <v>0</v>
      </c>
      <c r="H17" s="184">
        <f>'1 квартал'!H17+'2 квартал'!H17</f>
        <v>110</v>
      </c>
      <c r="I17" s="184">
        <f>'1 квартал'!I17+'2 квартал'!I17</f>
        <v>180</v>
      </c>
      <c r="J17" s="183">
        <f>SUM(K17:O17)</f>
        <v>619990.16999999993</v>
      </c>
      <c r="K17" s="184">
        <f>'1 квартал'!K17+'2 квартал'!K17</f>
        <v>0</v>
      </c>
      <c r="L17" s="184">
        <f>'1 квартал'!L17+'2 квартал'!L17</f>
        <v>619698.04599999997</v>
      </c>
      <c r="M17" s="184">
        <f>'1 квартал'!M17+'2 квартал'!M17</f>
        <v>0.29400000000000004</v>
      </c>
      <c r="N17" s="184">
        <f>'1 квартал'!N17+'2 квартал'!N17</f>
        <v>160.673</v>
      </c>
      <c r="O17" s="184">
        <f>'1 квартал'!O17+'2 квартал'!O17</f>
        <v>131.15700000000001</v>
      </c>
    </row>
    <row r="18" spans="1:15" ht="13.5" thickTop="1" thickBot="1">
      <c r="A18" s="862"/>
      <c r="B18" s="182" t="s">
        <v>32</v>
      </c>
      <c r="C18" s="182" t="s">
        <v>33</v>
      </c>
      <c r="D18" s="183">
        <f t="shared" ref="D18:I18" si="6">SUM(D19:D20)</f>
        <v>18480</v>
      </c>
      <c r="E18" s="185">
        <f t="shared" si="6"/>
        <v>0</v>
      </c>
      <c r="F18" s="185">
        <f t="shared" si="6"/>
        <v>17310</v>
      </c>
      <c r="G18" s="185">
        <f t="shared" si="6"/>
        <v>1170</v>
      </c>
      <c r="H18" s="185">
        <f t="shared" si="6"/>
        <v>0</v>
      </c>
      <c r="I18" s="185">
        <f t="shared" si="6"/>
        <v>0</v>
      </c>
      <c r="J18" s="183">
        <f t="shared" ref="J18:O18" si="7">SUM(J19:J20)</f>
        <v>25143.834999999999</v>
      </c>
      <c r="K18" s="185">
        <f t="shared" si="7"/>
        <v>0</v>
      </c>
      <c r="L18" s="185">
        <f t="shared" si="7"/>
        <v>24157.966999999997</v>
      </c>
      <c r="M18" s="185">
        <f t="shared" si="7"/>
        <v>985.86799999999994</v>
      </c>
      <c r="N18" s="185">
        <f t="shared" si="7"/>
        <v>0</v>
      </c>
      <c r="O18" s="185">
        <f t="shared" si="7"/>
        <v>0</v>
      </c>
    </row>
    <row r="19" spans="1:15" ht="13.5" thickTop="1" thickBot="1">
      <c r="A19" s="862"/>
      <c r="B19" s="186" t="s">
        <v>34</v>
      </c>
      <c r="C19" s="187" t="s">
        <v>192</v>
      </c>
      <c r="D19" s="188">
        <f>SUM(E19:I19)</f>
        <v>1760</v>
      </c>
      <c r="E19" s="235"/>
      <c r="F19" s="184">
        <f>'1 квартал'!F19+'2 квартал'!F19</f>
        <v>1760</v>
      </c>
      <c r="G19" s="235"/>
      <c r="H19" s="235"/>
      <c r="I19" s="235"/>
      <c r="J19" s="188">
        <f t="shared" ref="J19:J29" si="8">SUM(K19:O19)</f>
        <v>8634.0409999999993</v>
      </c>
      <c r="K19" s="235"/>
      <c r="L19" s="184">
        <f>'1 квартал'!L19+'2 квартал'!L19</f>
        <v>8634.0409999999993</v>
      </c>
      <c r="M19" s="235"/>
      <c r="N19" s="235"/>
      <c r="O19" s="235"/>
    </row>
    <row r="20" spans="1:15" ht="13.5" thickTop="1" thickBot="1">
      <c r="A20" s="862"/>
      <c r="B20" s="190" t="s">
        <v>35</v>
      </c>
      <c r="C20" s="187" t="s">
        <v>191</v>
      </c>
      <c r="D20" s="188">
        <f>SUM(E20:I20)</f>
        <v>16720</v>
      </c>
      <c r="E20" s="235"/>
      <c r="F20" s="184">
        <f>'1 квартал'!F20+'2 квартал'!F20</f>
        <v>15550</v>
      </c>
      <c r="G20" s="184">
        <f>'1 квартал'!G20+'2 квартал'!G20</f>
        <v>1170</v>
      </c>
      <c r="H20" s="235"/>
      <c r="I20" s="235"/>
      <c r="J20" s="188">
        <f t="shared" si="8"/>
        <v>16509.793999999998</v>
      </c>
      <c r="K20" s="235"/>
      <c r="L20" s="184">
        <f>'1 квартал'!L20+'2 квартал'!L20</f>
        <v>15523.925999999999</v>
      </c>
      <c r="M20" s="184">
        <f>'1 квартал'!M20+'2 квартал'!M20</f>
        <v>985.86799999999994</v>
      </c>
      <c r="N20" s="235"/>
      <c r="O20" s="235"/>
    </row>
    <row r="21" spans="1:15" ht="13.5" thickTop="1" thickBot="1">
      <c r="A21" s="862"/>
      <c r="B21" s="182" t="s">
        <v>36</v>
      </c>
      <c r="C21" s="182" t="s">
        <v>37</v>
      </c>
      <c r="D21" s="183">
        <f>SUM(E21:I21)</f>
        <v>12740</v>
      </c>
      <c r="E21" s="235"/>
      <c r="F21" s="184">
        <f>'1 квартал'!F21+'2 квартал'!F21</f>
        <v>11460</v>
      </c>
      <c r="G21" s="184">
        <f>'1 квартал'!G21+'2 квартал'!G21</f>
        <v>1280</v>
      </c>
      <c r="H21" s="235"/>
      <c r="I21" s="235"/>
      <c r="J21" s="183">
        <f t="shared" si="8"/>
        <v>11257.789000000001</v>
      </c>
      <c r="K21" s="235"/>
      <c r="L21" s="184">
        <f>'1 квартал'!L21+'2 квартал'!L21</f>
        <v>10653.630000000001</v>
      </c>
      <c r="M21" s="184">
        <f>'1 квартал'!M21+'2 квартал'!M21</f>
        <v>604.15899999999999</v>
      </c>
      <c r="N21" s="235"/>
      <c r="O21" s="235"/>
    </row>
    <row r="22" spans="1:15" s="17" customFormat="1" ht="13.5" thickTop="1" thickBot="1">
      <c r="A22" s="862"/>
      <c r="B22" s="232" t="s">
        <v>38</v>
      </c>
      <c r="C22" s="232" t="s">
        <v>39</v>
      </c>
      <c r="D22" s="192">
        <f t="shared" ref="D22:D29" si="9">SUM(E22:I22)</f>
        <v>2017260</v>
      </c>
      <c r="E22" s="192">
        <f>SUM(E23:E25,E28,E29)</f>
        <v>0</v>
      </c>
      <c r="F22" s="192">
        <f>SUM(F23:F25,F28,F29)</f>
        <v>1511910</v>
      </c>
      <c r="G22" s="192">
        <f>SUM(G23:G25,G28,G29)</f>
        <v>306870</v>
      </c>
      <c r="H22" s="192">
        <f>SUM(H23:H25,H28,H29)</f>
        <v>198600</v>
      </c>
      <c r="I22" s="192">
        <f>SUM(I23:I25,I28,I29)</f>
        <v>-120</v>
      </c>
      <c r="J22" s="192">
        <f t="shared" si="8"/>
        <v>1931243.8680000002</v>
      </c>
      <c r="K22" s="192">
        <f>SUM(K23:K25,K28,K29)</f>
        <v>0</v>
      </c>
      <c r="L22" s="192">
        <f>SUM(L23:L25,L28,L29)</f>
        <v>1505306.3070000003</v>
      </c>
      <c r="M22" s="192">
        <f>SUM(M23:M25,M28,M29)</f>
        <v>240474.45299999998</v>
      </c>
      <c r="N22" s="192">
        <f>SUM(N23:N25,N28,N29)</f>
        <v>185552.114</v>
      </c>
      <c r="O22" s="192">
        <f>SUM(O23:O25,O28,O29)</f>
        <v>-89.006000000000014</v>
      </c>
    </row>
    <row r="23" spans="1:15" ht="13.5" thickTop="1" thickBot="1">
      <c r="A23" s="862"/>
      <c r="B23" s="182" t="s">
        <v>40</v>
      </c>
      <c r="C23" s="182" t="s">
        <v>41</v>
      </c>
      <c r="D23" s="183">
        <f t="shared" si="9"/>
        <v>0</v>
      </c>
      <c r="E23" s="183">
        <f t="shared" ref="E23:I28" si="10">E7-E16</f>
        <v>0</v>
      </c>
      <c r="F23" s="183">
        <f t="shared" si="10"/>
        <v>0</v>
      </c>
      <c r="G23" s="183">
        <f t="shared" si="10"/>
        <v>0</v>
      </c>
      <c r="H23" s="183">
        <f t="shared" si="10"/>
        <v>0</v>
      </c>
      <c r="I23" s="183">
        <f t="shared" si="10"/>
        <v>0</v>
      </c>
      <c r="J23" s="183">
        <f t="shared" si="8"/>
        <v>0</v>
      </c>
      <c r="K23" s="183">
        <f t="shared" ref="K23:O28" si="11">K7-K16</f>
        <v>0</v>
      </c>
      <c r="L23" s="183">
        <f t="shared" si="11"/>
        <v>0</v>
      </c>
      <c r="M23" s="183">
        <f t="shared" si="11"/>
        <v>0</v>
      </c>
      <c r="N23" s="183">
        <f t="shared" si="11"/>
        <v>0</v>
      </c>
      <c r="O23" s="183">
        <f t="shared" si="11"/>
        <v>0</v>
      </c>
    </row>
    <row r="24" spans="1:15" ht="13.5" thickTop="1" thickBot="1">
      <c r="A24" s="862"/>
      <c r="B24" s="182" t="s">
        <v>42</v>
      </c>
      <c r="C24" s="182" t="s">
        <v>43</v>
      </c>
      <c r="D24" s="183">
        <f t="shared" si="9"/>
        <v>723465</v>
      </c>
      <c r="E24" s="183">
        <f t="shared" si="10"/>
        <v>0</v>
      </c>
      <c r="F24" s="183">
        <f t="shared" si="10"/>
        <v>455845</v>
      </c>
      <c r="G24" s="183">
        <f t="shared" si="10"/>
        <v>87660</v>
      </c>
      <c r="H24" s="183">
        <f t="shared" si="10"/>
        <v>180080</v>
      </c>
      <c r="I24" s="183">
        <f t="shared" si="10"/>
        <v>-120</v>
      </c>
      <c r="J24" s="183">
        <f t="shared" si="8"/>
        <v>485920.06400000007</v>
      </c>
      <c r="K24" s="183">
        <f t="shared" si="11"/>
        <v>0</v>
      </c>
      <c r="L24" s="183">
        <f t="shared" si="11"/>
        <v>238964.02600000007</v>
      </c>
      <c r="M24" s="183">
        <f t="shared" si="11"/>
        <v>78126.826000000001</v>
      </c>
      <c r="N24" s="183">
        <f t="shared" si="11"/>
        <v>168918.21799999999</v>
      </c>
      <c r="O24" s="183">
        <f t="shared" si="11"/>
        <v>-89.006000000000014</v>
      </c>
    </row>
    <row r="25" spans="1:15" ht="13.5" thickTop="1" thickBot="1">
      <c r="A25" s="862"/>
      <c r="B25" s="182" t="s">
        <v>44</v>
      </c>
      <c r="C25" s="182" t="s">
        <v>45</v>
      </c>
      <c r="D25" s="183">
        <f t="shared" si="9"/>
        <v>58070</v>
      </c>
      <c r="E25" s="183">
        <f t="shared" si="10"/>
        <v>0</v>
      </c>
      <c r="F25" s="183">
        <f t="shared" si="10"/>
        <v>59240</v>
      </c>
      <c r="G25" s="183">
        <f t="shared" si="10"/>
        <v>-1170</v>
      </c>
      <c r="H25" s="183">
        <f t="shared" si="10"/>
        <v>0</v>
      </c>
      <c r="I25" s="183">
        <f t="shared" si="10"/>
        <v>0</v>
      </c>
      <c r="J25" s="183">
        <f t="shared" si="8"/>
        <v>40516.953000000001</v>
      </c>
      <c r="K25" s="183">
        <f t="shared" si="11"/>
        <v>0</v>
      </c>
      <c r="L25" s="183">
        <f t="shared" si="11"/>
        <v>41502.821000000004</v>
      </c>
      <c r="M25" s="183">
        <f t="shared" si="11"/>
        <v>-985.86799999999994</v>
      </c>
      <c r="N25" s="183">
        <f t="shared" si="11"/>
        <v>0</v>
      </c>
      <c r="O25" s="183">
        <f t="shared" si="11"/>
        <v>0</v>
      </c>
    </row>
    <row r="26" spans="1:15" ht="13.5" thickTop="1" thickBot="1">
      <c r="A26" s="862"/>
      <c r="B26" s="186" t="s">
        <v>46</v>
      </c>
      <c r="C26" s="187" t="s">
        <v>192</v>
      </c>
      <c r="D26" s="183">
        <f t="shared" si="9"/>
        <v>67440</v>
      </c>
      <c r="E26" s="188">
        <f t="shared" si="10"/>
        <v>0</v>
      </c>
      <c r="F26" s="188">
        <f t="shared" si="10"/>
        <v>67440</v>
      </c>
      <c r="G26" s="188">
        <f t="shared" si="10"/>
        <v>0</v>
      </c>
      <c r="H26" s="188">
        <f t="shared" si="10"/>
        <v>0</v>
      </c>
      <c r="I26" s="188">
        <f t="shared" si="10"/>
        <v>0</v>
      </c>
      <c r="J26" s="183">
        <f t="shared" si="8"/>
        <v>50210.002999999997</v>
      </c>
      <c r="K26" s="188">
        <f t="shared" si="11"/>
        <v>0</v>
      </c>
      <c r="L26" s="188">
        <f t="shared" si="11"/>
        <v>50210.002999999997</v>
      </c>
      <c r="M26" s="188">
        <f t="shared" si="11"/>
        <v>0</v>
      </c>
      <c r="N26" s="188">
        <f t="shared" si="11"/>
        <v>0</v>
      </c>
      <c r="O26" s="188">
        <f t="shared" si="11"/>
        <v>0</v>
      </c>
    </row>
    <row r="27" spans="1:15" ht="13.5" thickTop="1" thickBot="1">
      <c r="A27" s="862"/>
      <c r="B27" s="186" t="s">
        <v>47</v>
      </c>
      <c r="C27" s="187" t="s">
        <v>191</v>
      </c>
      <c r="D27" s="183">
        <f t="shared" si="9"/>
        <v>-9370</v>
      </c>
      <c r="E27" s="188">
        <f t="shared" si="10"/>
        <v>0</v>
      </c>
      <c r="F27" s="188">
        <f t="shared" si="10"/>
        <v>-8200</v>
      </c>
      <c r="G27" s="188">
        <f t="shared" si="10"/>
        <v>-1170</v>
      </c>
      <c r="H27" s="188">
        <f t="shared" si="10"/>
        <v>0</v>
      </c>
      <c r="I27" s="188">
        <f t="shared" si="10"/>
        <v>0</v>
      </c>
      <c r="J27" s="183">
        <f t="shared" si="8"/>
        <v>-9693.0499999999993</v>
      </c>
      <c r="K27" s="188">
        <f t="shared" si="11"/>
        <v>0</v>
      </c>
      <c r="L27" s="188">
        <f t="shared" si="11"/>
        <v>-8707.1819999999989</v>
      </c>
      <c r="M27" s="188">
        <f t="shared" si="11"/>
        <v>-985.86799999999994</v>
      </c>
      <c r="N27" s="188">
        <f t="shared" si="11"/>
        <v>0</v>
      </c>
      <c r="O27" s="188">
        <f t="shared" si="11"/>
        <v>0</v>
      </c>
    </row>
    <row r="28" spans="1:15" ht="13.5" thickTop="1" thickBot="1">
      <c r="A28" s="862"/>
      <c r="B28" s="182" t="s">
        <v>48</v>
      </c>
      <c r="C28" s="182" t="s">
        <v>49</v>
      </c>
      <c r="D28" s="183">
        <f t="shared" si="9"/>
        <v>1225225</v>
      </c>
      <c r="E28" s="183">
        <f t="shared" si="10"/>
        <v>0</v>
      </c>
      <c r="F28" s="183">
        <f t="shared" si="10"/>
        <v>996825</v>
      </c>
      <c r="G28" s="183">
        <f t="shared" si="10"/>
        <v>209880</v>
      </c>
      <c r="H28" s="183">
        <f t="shared" si="10"/>
        <v>18520</v>
      </c>
      <c r="I28" s="183">
        <f t="shared" si="10"/>
        <v>0</v>
      </c>
      <c r="J28" s="183">
        <f t="shared" si="8"/>
        <v>1403031.0510000002</v>
      </c>
      <c r="K28" s="183">
        <f t="shared" si="11"/>
        <v>0</v>
      </c>
      <c r="L28" s="183">
        <f t="shared" si="11"/>
        <v>1224839.4600000002</v>
      </c>
      <c r="M28" s="183">
        <f t="shared" si="11"/>
        <v>161557.69499999998</v>
      </c>
      <c r="N28" s="183">
        <f t="shared" si="11"/>
        <v>16633.896000000001</v>
      </c>
      <c r="O28" s="183">
        <f t="shared" si="11"/>
        <v>0</v>
      </c>
    </row>
    <row r="29" spans="1:15" ht="13.5" thickTop="1" thickBot="1">
      <c r="A29" s="862"/>
      <c r="B29" s="182" t="s">
        <v>50</v>
      </c>
      <c r="C29" s="182" t="s">
        <v>25</v>
      </c>
      <c r="D29" s="183">
        <f t="shared" si="9"/>
        <v>10500</v>
      </c>
      <c r="E29" s="183">
        <f>E14</f>
        <v>0</v>
      </c>
      <c r="F29" s="183">
        <f>F14</f>
        <v>0</v>
      </c>
      <c r="G29" s="183">
        <f>G14</f>
        <v>10500</v>
      </c>
      <c r="H29" s="183">
        <f>H14</f>
        <v>0</v>
      </c>
      <c r="I29" s="183">
        <f>I14</f>
        <v>0</v>
      </c>
      <c r="J29" s="183">
        <f t="shared" si="8"/>
        <v>1775.7999999999993</v>
      </c>
      <c r="K29" s="183">
        <f>K14</f>
        <v>0</v>
      </c>
      <c r="L29" s="183">
        <f>L14</f>
        <v>0</v>
      </c>
      <c r="M29" s="183">
        <f>M14</f>
        <v>1775.7999999999993</v>
      </c>
      <c r="N29" s="183">
        <f>N14</f>
        <v>0</v>
      </c>
      <c r="O29" s="183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180">
        <f>SUM(F30:I30)</f>
        <v>2415604</v>
      </c>
      <c r="E30" s="180"/>
      <c r="F30" s="180">
        <f>SUM(F31:F33)</f>
        <v>0</v>
      </c>
      <c r="G30" s="180">
        <f>SUM(G31:G33)</f>
        <v>305844</v>
      </c>
      <c r="H30" s="180">
        <f>SUM(H31:H33)</f>
        <v>1278870</v>
      </c>
      <c r="I30" s="180">
        <f>SUM(I31:I33)</f>
        <v>830890</v>
      </c>
      <c r="J30" s="180">
        <f>SUM(L30:O30)</f>
        <v>2374962.8078000005</v>
      </c>
      <c r="K30" s="180"/>
      <c r="L30" s="180">
        <f>SUM(L31:L33)</f>
        <v>0</v>
      </c>
      <c r="M30" s="180">
        <f>SUM(M31:M33)</f>
        <v>296992.04219999997</v>
      </c>
      <c r="N30" s="180">
        <f>SUM(N31:N33)</f>
        <v>1241290.5686000001</v>
      </c>
      <c r="O30" s="180">
        <f>SUM(O31:O33)</f>
        <v>836680.19700000016</v>
      </c>
    </row>
    <row r="31" spans="1:15" ht="13.5" thickTop="1" thickBot="1">
      <c r="A31" s="862"/>
      <c r="B31" s="182" t="s">
        <v>54</v>
      </c>
      <c r="C31" s="182" t="s">
        <v>55</v>
      </c>
      <c r="D31" s="183">
        <f t="shared" ref="D31:D38" si="12">SUM(E31:I31)</f>
        <v>1019480</v>
      </c>
      <c r="E31" s="195"/>
      <c r="F31" s="196"/>
      <c r="G31" s="183">
        <f>F36</f>
        <v>305844</v>
      </c>
      <c r="H31" s="183">
        <f>F37</f>
        <v>713636</v>
      </c>
      <c r="I31" s="195"/>
      <c r="J31" s="183">
        <f t="shared" ref="J31:J43" si="13">SUM(K31:O31)</f>
        <v>1042719.7506000001</v>
      </c>
      <c r="K31" s="195"/>
      <c r="L31" s="196"/>
      <c r="M31" s="183">
        <f>L36</f>
        <v>296992.04219999997</v>
      </c>
      <c r="N31" s="183">
        <f>L37</f>
        <v>745727.70840000012</v>
      </c>
      <c r="O31" s="195"/>
    </row>
    <row r="32" spans="1:15" ht="13.5" thickTop="1" thickBot="1">
      <c r="A32" s="862"/>
      <c r="B32" s="182" t="s">
        <v>56</v>
      </c>
      <c r="C32" s="182" t="s">
        <v>57</v>
      </c>
      <c r="D32" s="183">
        <f t="shared" si="12"/>
        <v>565234</v>
      </c>
      <c r="E32" s="195"/>
      <c r="F32" s="195"/>
      <c r="G32" s="195"/>
      <c r="H32" s="183">
        <f>G37</f>
        <v>565234</v>
      </c>
      <c r="I32" s="196">
        <f>G43</f>
        <v>0</v>
      </c>
      <c r="J32" s="183">
        <f t="shared" si="13"/>
        <v>495562.86020000005</v>
      </c>
      <c r="K32" s="195"/>
      <c r="L32" s="195"/>
      <c r="M32" s="195"/>
      <c r="N32" s="183">
        <f>M37</f>
        <v>495562.86020000005</v>
      </c>
      <c r="O32" s="196">
        <f>M43</f>
        <v>0</v>
      </c>
    </row>
    <row r="33" spans="1:15" ht="13.5" thickTop="1" thickBot="1">
      <c r="A33" s="862"/>
      <c r="B33" s="182" t="s">
        <v>58</v>
      </c>
      <c r="C33" s="182" t="s">
        <v>59</v>
      </c>
      <c r="D33" s="183">
        <f t="shared" si="12"/>
        <v>830890</v>
      </c>
      <c r="E33" s="195"/>
      <c r="F33" s="195"/>
      <c r="G33" s="195"/>
      <c r="H33" s="195"/>
      <c r="I33" s="183">
        <f>G38+H38</f>
        <v>830890</v>
      </c>
      <c r="J33" s="183">
        <f t="shared" si="13"/>
        <v>836680.19700000016</v>
      </c>
      <c r="K33" s="195"/>
      <c r="L33" s="195"/>
      <c r="M33" s="195"/>
      <c r="N33" s="195"/>
      <c r="O33" s="183">
        <f>M38+N38</f>
        <v>836680.19700000016</v>
      </c>
    </row>
    <row r="34" spans="1:15" ht="13.5" thickTop="1" thickBot="1">
      <c r="A34" s="862"/>
      <c r="B34" s="179" t="s">
        <v>60</v>
      </c>
      <c r="C34" s="179" t="s">
        <v>61</v>
      </c>
      <c r="D34" s="180">
        <f t="shared" si="12"/>
        <v>2415604</v>
      </c>
      <c r="E34" s="180"/>
      <c r="F34" s="180">
        <f>SUM(F35:F38)</f>
        <v>1019480</v>
      </c>
      <c r="G34" s="180">
        <f>SUM(G35:G38)</f>
        <v>565234</v>
      </c>
      <c r="H34" s="180">
        <f>SUM(H35:H38)</f>
        <v>830890</v>
      </c>
      <c r="I34" s="181">
        <f>SUM(I35:I38)</f>
        <v>0</v>
      </c>
      <c r="J34" s="180">
        <f t="shared" si="13"/>
        <v>2374962.8078000005</v>
      </c>
      <c r="K34" s="180"/>
      <c r="L34" s="180">
        <f>SUM(L35:L38)</f>
        <v>1042719.7506000001</v>
      </c>
      <c r="M34" s="180">
        <f>SUM(M35:M38)</f>
        <v>495562.86020000005</v>
      </c>
      <c r="N34" s="180">
        <f>SUM(N35:N38)</f>
        <v>836680.19700000016</v>
      </c>
      <c r="O34" s="181">
        <f>SUM(O35:O38)</f>
        <v>0</v>
      </c>
    </row>
    <row r="35" spans="1:15" ht="13.5" thickTop="1" thickBot="1">
      <c r="A35" s="862"/>
      <c r="B35" s="182" t="s">
        <v>62</v>
      </c>
      <c r="C35" s="182" t="s">
        <v>63</v>
      </c>
      <c r="D35" s="183">
        <f t="shared" si="12"/>
        <v>0</v>
      </c>
      <c r="E35" s="196"/>
      <c r="F35" s="195"/>
      <c r="G35" s="195"/>
      <c r="H35" s="195"/>
      <c r="I35" s="195"/>
      <c r="J35" s="183">
        <f t="shared" si="13"/>
        <v>0</v>
      </c>
      <c r="K35" s="196"/>
      <c r="L35" s="195"/>
      <c r="M35" s="195"/>
      <c r="N35" s="195"/>
      <c r="O35" s="195"/>
    </row>
    <row r="36" spans="1:15" ht="13.5" thickTop="1" thickBot="1">
      <c r="A36" s="862"/>
      <c r="B36" s="182" t="s">
        <v>64</v>
      </c>
      <c r="C36" s="182" t="s">
        <v>65</v>
      </c>
      <c r="D36" s="183">
        <f t="shared" si="12"/>
        <v>305844</v>
      </c>
      <c r="E36" s="183"/>
      <c r="F36" s="184">
        <f>'1 квартал'!F36+'2 квартал'!F36</f>
        <v>305844</v>
      </c>
      <c r="G36" s="195"/>
      <c r="H36" s="195"/>
      <c r="I36" s="195"/>
      <c r="J36" s="183">
        <f t="shared" si="13"/>
        <v>296992.04219999997</v>
      </c>
      <c r="K36" s="183"/>
      <c r="L36" s="184">
        <f>'1 квартал'!L36+'2 квартал'!L36</f>
        <v>296992.04219999997</v>
      </c>
      <c r="M36" s="195"/>
      <c r="N36" s="195"/>
      <c r="O36" s="195"/>
    </row>
    <row r="37" spans="1:15" ht="13.5" thickTop="1" thickBot="1">
      <c r="A37" s="862"/>
      <c r="B37" s="182" t="s">
        <v>66</v>
      </c>
      <c r="C37" s="182" t="s">
        <v>67</v>
      </c>
      <c r="D37" s="183">
        <f t="shared" si="12"/>
        <v>1278870</v>
      </c>
      <c r="E37" s="183"/>
      <c r="F37" s="184">
        <f>'1 квартал'!F37+'2 квартал'!F37</f>
        <v>713636</v>
      </c>
      <c r="G37" s="184">
        <f>'1 квартал'!G37+'2 квартал'!G37</f>
        <v>565234</v>
      </c>
      <c r="H37" s="195"/>
      <c r="I37" s="195"/>
      <c r="J37" s="183">
        <f t="shared" si="13"/>
        <v>1241290.5686000001</v>
      </c>
      <c r="K37" s="183"/>
      <c r="L37" s="184">
        <f>'1 квартал'!L37+'2 квартал'!L37</f>
        <v>745727.70840000012</v>
      </c>
      <c r="M37" s="184">
        <f>'1 квартал'!M37+'2 квартал'!M37</f>
        <v>495562.86020000005</v>
      </c>
      <c r="N37" s="195"/>
      <c r="O37" s="195"/>
    </row>
    <row r="38" spans="1:15" ht="13.5" thickTop="1" thickBot="1">
      <c r="A38" s="862"/>
      <c r="B38" s="182" t="s">
        <v>68</v>
      </c>
      <c r="C38" s="182" t="s">
        <v>69</v>
      </c>
      <c r="D38" s="183">
        <f t="shared" si="12"/>
        <v>830890</v>
      </c>
      <c r="E38" s="195"/>
      <c r="F38" s="195"/>
      <c r="G38" s="196"/>
      <c r="H38" s="184">
        <f>'1 квартал'!H38+'2 квартал'!H38</f>
        <v>830890</v>
      </c>
      <c r="I38" s="195"/>
      <c r="J38" s="183">
        <f t="shared" si="13"/>
        <v>836680.19700000016</v>
      </c>
      <c r="K38" s="195"/>
      <c r="L38" s="195"/>
      <c r="M38" s="196"/>
      <c r="N38" s="184">
        <f>'1 квартал'!N38+'2 квартал'!N38</f>
        <v>836680.19700000016</v>
      </c>
      <c r="O38" s="195"/>
    </row>
    <row r="39" spans="1:15" s="17" customFormat="1" ht="13.5" thickTop="1" thickBot="1">
      <c r="A39" s="862"/>
      <c r="B39" s="232" t="s">
        <v>70</v>
      </c>
      <c r="C39" s="232" t="s">
        <v>71</v>
      </c>
      <c r="D39" s="192">
        <f>SUM(E39:I39)</f>
        <v>0</v>
      </c>
      <c r="E39" s="192"/>
      <c r="F39" s="192">
        <f>SUM(F40:F43)</f>
        <v>-1019480</v>
      </c>
      <c r="G39" s="192">
        <f>SUM(G40:G43)</f>
        <v>-259390</v>
      </c>
      <c r="H39" s="192">
        <f>SUM(H40:H43)</f>
        <v>447980</v>
      </c>
      <c r="I39" s="192">
        <f>SUM(I40:I43)</f>
        <v>830890</v>
      </c>
      <c r="J39" s="192">
        <f t="shared" si="13"/>
        <v>0</v>
      </c>
      <c r="K39" s="192"/>
      <c r="L39" s="192">
        <f>SUM(L40:L43)</f>
        <v>-1042719.7506000001</v>
      </c>
      <c r="M39" s="192">
        <f>SUM(M40:M43)</f>
        <v>-198570.81800000009</v>
      </c>
      <c r="N39" s="192">
        <f>SUM(N40:N43)</f>
        <v>404610.37159999995</v>
      </c>
      <c r="O39" s="192">
        <f>SUM(O40:O43)</f>
        <v>836680.19700000016</v>
      </c>
    </row>
    <row r="40" spans="1:15" ht="13.5" thickTop="1" thickBot="1">
      <c r="A40" s="862"/>
      <c r="B40" s="182" t="s">
        <v>72</v>
      </c>
      <c r="C40" s="182" t="s">
        <v>5</v>
      </c>
      <c r="D40" s="183">
        <f>SUM(E40:I40)</f>
        <v>1019480</v>
      </c>
      <c r="E40" s="196"/>
      <c r="F40" s="196">
        <f>F31-F35</f>
        <v>0</v>
      </c>
      <c r="G40" s="196">
        <f>G31-G35</f>
        <v>305844</v>
      </c>
      <c r="H40" s="196">
        <f>H31-H35</f>
        <v>713636</v>
      </c>
      <c r="I40" s="195"/>
      <c r="J40" s="183">
        <f t="shared" si="13"/>
        <v>1042719.7506000001</v>
      </c>
      <c r="K40" s="196"/>
      <c r="L40" s="196">
        <f>L31-L35</f>
        <v>0</v>
      </c>
      <c r="M40" s="196">
        <f>M31-M35</f>
        <v>296992.04219999997</v>
      </c>
      <c r="N40" s="196">
        <f>N31-N35</f>
        <v>745727.70840000012</v>
      </c>
      <c r="O40" s="195"/>
    </row>
    <row r="41" spans="1:15" ht="13.5" thickTop="1" thickBot="1">
      <c r="A41" s="862"/>
      <c r="B41" s="182" t="s">
        <v>73</v>
      </c>
      <c r="C41" s="182" t="s">
        <v>74</v>
      </c>
      <c r="D41" s="183">
        <f>SUM(E41:I41)</f>
        <v>259390</v>
      </c>
      <c r="E41" s="196">
        <f>E32-E36</f>
        <v>0</v>
      </c>
      <c r="F41" s="196">
        <f>F32-F36</f>
        <v>-305844</v>
      </c>
      <c r="G41" s="195"/>
      <c r="H41" s="196">
        <f>H32-H36</f>
        <v>565234</v>
      </c>
      <c r="I41" s="195"/>
      <c r="J41" s="183">
        <f t="shared" si="13"/>
        <v>198570.81800000009</v>
      </c>
      <c r="K41" s="196">
        <f>K32-K36</f>
        <v>0</v>
      </c>
      <c r="L41" s="196">
        <f>L32-L36</f>
        <v>-296992.04219999997</v>
      </c>
      <c r="M41" s="195"/>
      <c r="N41" s="196">
        <f>N32-N36</f>
        <v>495562.86020000005</v>
      </c>
      <c r="O41" s="195"/>
    </row>
    <row r="42" spans="1:15" ht="13.5" thickTop="1" thickBot="1">
      <c r="A42" s="862"/>
      <c r="B42" s="182" t="s">
        <v>75</v>
      </c>
      <c r="C42" s="182" t="s">
        <v>76</v>
      </c>
      <c r="D42" s="183">
        <f>SUM(E42:I42)</f>
        <v>-447980</v>
      </c>
      <c r="E42" s="196">
        <f>E33-E37</f>
        <v>0</v>
      </c>
      <c r="F42" s="196">
        <f>F33-F37</f>
        <v>-713636</v>
      </c>
      <c r="G42" s="196">
        <f>G33-G37</f>
        <v>-565234</v>
      </c>
      <c r="H42" s="195"/>
      <c r="I42" s="196">
        <f>I33-I37</f>
        <v>830890</v>
      </c>
      <c r="J42" s="183">
        <f t="shared" si="13"/>
        <v>-404610.37159999995</v>
      </c>
      <c r="K42" s="196">
        <f>K33-K37</f>
        <v>0</v>
      </c>
      <c r="L42" s="196">
        <f>L33-L37</f>
        <v>-745727.70840000012</v>
      </c>
      <c r="M42" s="196">
        <f>M33-M37</f>
        <v>-495562.86020000005</v>
      </c>
      <c r="N42" s="195"/>
      <c r="O42" s="196">
        <f>O33-O37</f>
        <v>836680.19700000016</v>
      </c>
    </row>
    <row r="43" spans="1:15" ht="13.5" thickTop="1" thickBot="1">
      <c r="A43" s="862"/>
      <c r="B43" s="199" t="s">
        <v>77</v>
      </c>
      <c r="C43" s="199" t="s">
        <v>8</v>
      </c>
      <c r="D43" s="196">
        <f>SUM(E43:I43)</f>
        <v>-830890</v>
      </c>
      <c r="E43" s="195"/>
      <c r="F43" s="195"/>
      <c r="G43" s="196"/>
      <c r="H43" s="196">
        <f>-H38</f>
        <v>-830890</v>
      </c>
      <c r="I43" s="195"/>
      <c r="J43" s="196">
        <f t="shared" si="13"/>
        <v>-836680.19700000016</v>
      </c>
      <c r="K43" s="195"/>
      <c r="L43" s="195"/>
      <c r="M43" s="196"/>
      <c r="N43" s="196">
        <f>-N38</f>
        <v>-836680.19700000016</v>
      </c>
      <c r="O43" s="195"/>
    </row>
    <row r="44" spans="1:15" ht="13.5" thickTop="1" thickBot="1">
      <c r="A44" s="177"/>
      <c r="B44" s="200" t="s">
        <v>78</v>
      </c>
      <c r="C44" s="200" t="s">
        <v>79</v>
      </c>
      <c r="D44" s="201">
        <f>D22</f>
        <v>2017260</v>
      </c>
      <c r="E44" s="201">
        <f>E22+E30</f>
        <v>0</v>
      </c>
      <c r="F44" s="201">
        <f>F22+F30</f>
        <v>1511910</v>
      </c>
      <c r="G44" s="201">
        <f>G22+G30</f>
        <v>612714</v>
      </c>
      <c r="H44" s="201">
        <f>H22+H30</f>
        <v>1477470</v>
      </c>
      <c r="I44" s="201">
        <f>I22+I30</f>
        <v>830770</v>
      </c>
      <c r="J44" s="201">
        <f>J22</f>
        <v>1931243.8680000002</v>
      </c>
      <c r="K44" s="201">
        <f>K22+K30</f>
        <v>0</v>
      </c>
      <c r="L44" s="201">
        <f>L22+L30</f>
        <v>1505306.3070000003</v>
      </c>
      <c r="M44" s="201">
        <f>M22+M30</f>
        <v>537466.4952</v>
      </c>
      <c r="N44" s="201">
        <f>N22+N30</f>
        <v>1426842.6826000002</v>
      </c>
      <c r="O44" s="201">
        <f>O22+O30</f>
        <v>836591.19100000011</v>
      </c>
    </row>
    <row r="45" spans="1:15" ht="13.5" thickTop="1" thickBot="1">
      <c r="A45" s="177"/>
      <c r="B45" s="202" t="s">
        <v>80</v>
      </c>
      <c r="C45" s="202" t="s">
        <v>81</v>
      </c>
      <c r="D45" s="203">
        <f>D44</f>
        <v>2017260</v>
      </c>
      <c r="E45" s="203">
        <f>E143+E151+E34</f>
        <v>0</v>
      </c>
      <c r="F45" s="203">
        <f>F143+F151+F34-G49-H49-G73-H73-G78-H78-H54-H97-H109-G97-G102-H102-G109-G114-H114-G121-H121-G126-H126-G133-H133</f>
        <v>1511910</v>
      </c>
      <c r="G45" s="203">
        <f>G143+G151+G34-H50-I50-H55-I55-H62-I62-H67-I67-H98-H74-H79-H86-H91-H103-H110-H115-H122-H127-H134</f>
        <v>595684.19999999995</v>
      </c>
      <c r="H45" s="203">
        <f>H143+H151+H34-I51-I56-I63-I68-I75-I80-I87-I92-I99-I104-I111-I116-I123-I128</f>
        <v>1354461.8</v>
      </c>
      <c r="I45" s="203">
        <f>I151+I143</f>
        <v>823937.8</v>
      </c>
      <c r="J45" s="203">
        <f>J44</f>
        <v>1931243.8680000002</v>
      </c>
      <c r="K45" s="203">
        <f>K143+K151+K34</f>
        <v>0</v>
      </c>
      <c r="L45" s="203">
        <f>L143+L151+L34-M49-N49-M73-N73-M78-N78-N54-N97-N109-M97-M102-N102-M109-M114-N114-M121-N121-M126-N126-M133-N133</f>
        <v>1505306.3070000005</v>
      </c>
      <c r="M45" s="203">
        <f>M143+M151+M34-N50-O50-N55-O55-N62-O62-N67-O67-N98-N74-N79-N86-N91-N103-N110-N115-N122-N127-N134</f>
        <v>522476.74520000006</v>
      </c>
      <c r="N45" s="203">
        <f>N143+N151+N34-O51-O56-O63-O68-O75-O80-O87-O92-O99-O104-O111-O116-O123-O128</f>
        <v>1314154.1356000002</v>
      </c>
      <c r="O45" s="203">
        <f>O151+O143</f>
        <v>828927.11100000015</v>
      </c>
    </row>
    <row r="46" spans="1:15" ht="13.5" thickTop="1" thickBot="1">
      <c r="A46" s="862" t="s">
        <v>82</v>
      </c>
      <c r="B46" s="179" t="s">
        <v>83</v>
      </c>
      <c r="C46" s="179" t="s">
        <v>84</v>
      </c>
      <c r="D46" s="181">
        <f>SUM(E46:I46)</f>
        <v>1661680</v>
      </c>
      <c r="E46" s="322">
        <f>E47+E59+E71+E83+E95</f>
        <v>0</v>
      </c>
      <c r="F46" s="322">
        <f>F47+F59+F71+F83+F95+F107+F119+F131</f>
        <v>436750</v>
      </c>
      <c r="G46" s="322">
        <f>G47+G59+G71+G83+G95+G107+G119+G131</f>
        <v>21510</v>
      </c>
      <c r="H46" s="322">
        <f>H47+H59+H71+H83+H95+H107+H119+H131</f>
        <v>537600</v>
      </c>
      <c r="I46" s="322">
        <f>I47+I59+I71+I83+I95+I107+I119+I131</f>
        <v>665820</v>
      </c>
      <c r="J46" s="181">
        <f>SUM(K46:O46)</f>
        <v>1536408.9440000001</v>
      </c>
      <c r="K46" s="322">
        <f>K47+K59+K71+K83+K95</f>
        <v>0</v>
      </c>
      <c r="L46" s="322">
        <f>L47+L59+L71+L83+L95+L107+L119+L131</f>
        <v>408498.56199999998</v>
      </c>
      <c r="M46" s="322">
        <f>M47+M59+M71+M83+M95+M107+M119+M131</f>
        <v>19988.989000000001</v>
      </c>
      <c r="N46" s="322">
        <f>N47+N59+N71+N83+N95+N107+N119+N131</f>
        <v>488261.685</v>
      </c>
      <c r="O46" s="322">
        <f>O47+O59+O71+O83+O95+O107+O119+O131</f>
        <v>619659.70799999998</v>
      </c>
    </row>
    <row r="47" spans="1:15" s="3" customFormat="1" ht="13.5" thickTop="1" thickBot="1">
      <c r="A47" s="862"/>
      <c r="B47" s="270" t="s">
        <v>85</v>
      </c>
      <c r="C47" s="271" t="s">
        <v>86</v>
      </c>
      <c r="D47" s="206">
        <f t="shared" ref="D47:D147" si="14">SUM(E47:I47)</f>
        <v>1166070</v>
      </c>
      <c r="E47" s="338">
        <f>'1 квартал'!E47+'2 квартал'!E47</f>
        <v>0</v>
      </c>
      <c r="F47" s="338">
        <f>'1 квартал'!F47+'2 квартал'!F47</f>
        <v>5480</v>
      </c>
      <c r="G47" s="344">
        <f>'1 квартал'!G47+'2 квартал'!G47</f>
        <v>6150</v>
      </c>
      <c r="H47" s="344">
        <f>'1 квартал'!H47+'2 квартал'!H47</f>
        <v>491880</v>
      </c>
      <c r="I47" s="344">
        <f>'1 квартал'!I47+'2 квартал'!I47</f>
        <v>662560</v>
      </c>
      <c r="J47" s="206">
        <f t="shared" ref="J47:J147" si="15">SUM(K47:O47)</f>
        <v>1086124.6680000001</v>
      </c>
      <c r="K47" s="184">
        <f>'1 квартал'!K47+'2 квартал'!K47</f>
        <v>0</v>
      </c>
      <c r="L47" s="184">
        <f>'1 квартал'!L47+'2 квартал'!L47</f>
        <v>13223.915000000001</v>
      </c>
      <c r="M47" s="184">
        <f>'1 квартал'!M47+'2 квартал'!M47</f>
        <v>4999.2390000000005</v>
      </c>
      <c r="N47" s="184">
        <f>'1 квартал'!N47+'2 квартал'!N47</f>
        <v>458752.44900000002</v>
      </c>
      <c r="O47" s="184">
        <f>'1 квартал'!O47+'2 квартал'!O47</f>
        <v>609149.06499999994</v>
      </c>
    </row>
    <row r="48" spans="1:15" ht="13.5" thickTop="1" thickBot="1">
      <c r="A48" s="862"/>
      <c r="B48" s="263" t="s">
        <v>87</v>
      </c>
      <c r="C48" s="263" t="s">
        <v>88</v>
      </c>
      <c r="D48" s="196">
        <f t="shared" si="14"/>
        <v>0</v>
      </c>
      <c r="E48" s="196"/>
      <c r="F48" s="196"/>
      <c r="G48" s="196"/>
      <c r="H48" s="196"/>
      <c r="I48" s="196"/>
      <c r="J48" s="196">
        <f t="shared" si="15"/>
        <v>0</v>
      </c>
      <c r="K48" s="196"/>
      <c r="L48" s="196"/>
      <c r="M48" s="196"/>
      <c r="N48" s="196"/>
      <c r="O48" s="196"/>
    </row>
    <row r="49" spans="1:15" ht="13.5" thickTop="1" thickBot="1">
      <c r="A49" s="862"/>
      <c r="B49" s="275"/>
      <c r="C49" s="276" t="s">
        <v>89</v>
      </c>
      <c r="D49" s="209">
        <f t="shared" si="14"/>
        <v>63700</v>
      </c>
      <c r="E49" s="210"/>
      <c r="F49" s="210"/>
      <c r="G49" s="240"/>
      <c r="H49" s="334">
        <f>'1 квартал'!H49+'2 квартал'!H49</f>
        <v>63700</v>
      </c>
      <c r="I49" s="210"/>
      <c r="J49" s="209">
        <f t="shared" si="15"/>
        <v>77751.975000000006</v>
      </c>
      <c r="K49" s="210"/>
      <c r="L49" s="210"/>
      <c r="M49" s="240"/>
      <c r="N49" s="184">
        <f>'1 квартал'!N49+'2 квартал'!N49</f>
        <v>77751.975000000006</v>
      </c>
      <c r="O49" s="210"/>
    </row>
    <row r="50" spans="1:15" ht="13.5" thickTop="1" thickBot="1">
      <c r="A50" s="862"/>
      <c r="B50" s="275"/>
      <c r="C50" s="276" t="s">
        <v>90</v>
      </c>
      <c r="D50" s="209">
        <f t="shared" si="14"/>
        <v>8500</v>
      </c>
      <c r="E50" s="210"/>
      <c r="F50" s="210"/>
      <c r="G50" s="210"/>
      <c r="H50" s="334">
        <f>'1 квартал'!H50+'2 квартал'!H50</f>
        <v>8500</v>
      </c>
      <c r="I50" s="235"/>
      <c r="J50" s="209">
        <f t="shared" si="15"/>
        <v>3845.4529999999995</v>
      </c>
      <c r="K50" s="210"/>
      <c r="L50" s="210"/>
      <c r="M50" s="210"/>
      <c r="N50" s="184">
        <f>'1 квартал'!N50+'2 квартал'!N50</f>
        <v>3845.4529999999995</v>
      </c>
      <c r="O50" s="235"/>
    </row>
    <row r="51" spans="1:15" ht="13.5" thickTop="1" thickBot="1">
      <c r="A51" s="862"/>
      <c r="B51" s="275"/>
      <c r="C51" s="276" t="s">
        <v>91</v>
      </c>
      <c r="D51" s="209">
        <f t="shared" si="14"/>
        <v>0</v>
      </c>
      <c r="E51" s="210"/>
      <c r="F51" s="210"/>
      <c r="G51" s="210"/>
      <c r="H51" s="210"/>
      <c r="I51" s="240"/>
      <c r="J51" s="209">
        <f t="shared" si="15"/>
        <v>0</v>
      </c>
      <c r="K51" s="210"/>
      <c r="L51" s="210"/>
      <c r="M51" s="210"/>
      <c r="N51" s="210"/>
      <c r="O51" s="240"/>
    </row>
    <row r="52" spans="1:15" ht="13.5" thickTop="1" thickBot="1">
      <c r="A52" s="862"/>
      <c r="B52" s="263" t="s">
        <v>92</v>
      </c>
      <c r="C52" s="263" t="s">
        <v>93</v>
      </c>
      <c r="D52" s="196">
        <f t="shared" si="14"/>
        <v>0</v>
      </c>
      <c r="E52" s="196"/>
      <c r="F52" s="196"/>
      <c r="G52" s="184">
        <f>'1 квартал'!G52+'2 квартал'!G52</f>
        <v>0</v>
      </c>
      <c r="H52" s="184">
        <f>'1 квартал'!H52+'2 квартал'!H52</f>
        <v>0</v>
      </c>
      <c r="I52" s="184">
        <f>'1 квартал'!I52+'2 квартал'!I52</f>
        <v>0</v>
      </c>
      <c r="J52" s="196">
        <f t="shared" si="15"/>
        <v>0</v>
      </c>
      <c r="K52" s="196"/>
      <c r="L52" s="184">
        <f>'1 квартал'!L52+'2 квартал'!L52</f>
        <v>0</v>
      </c>
      <c r="M52" s="184">
        <f>'1 квартал'!M52+'2 квартал'!M52</f>
        <v>0</v>
      </c>
      <c r="N52" s="184">
        <f>'1 квартал'!N52+'2 квартал'!N52</f>
        <v>0</v>
      </c>
      <c r="O52" s="184">
        <f>'1 квартал'!O52+'2 квартал'!O52</f>
        <v>0</v>
      </c>
    </row>
    <row r="53" spans="1:15" ht="13.5" thickTop="1" thickBot="1">
      <c r="A53" s="862"/>
      <c r="B53" s="263" t="s">
        <v>94</v>
      </c>
      <c r="C53" s="263" t="s">
        <v>95</v>
      </c>
      <c r="D53" s="213">
        <f t="shared" si="14"/>
        <v>126384</v>
      </c>
      <c r="E53" s="240"/>
      <c r="F53" s="212"/>
      <c r="G53" s="184">
        <f>'1 квартал'!G53+'2 квартал'!G53</f>
        <v>5005</v>
      </c>
      <c r="H53" s="184">
        <f>'1 квартал'!H53+'2 квартал'!H53</f>
        <v>121379</v>
      </c>
      <c r="I53" s="196"/>
      <c r="J53" s="431">
        <f t="shared" si="15"/>
        <v>117968.42200000001</v>
      </c>
      <c r="K53" s="240"/>
      <c r="L53" s="212"/>
      <c r="M53" s="184">
        <f>'1 квартал'!M53+'2 квартал'!M53</f>
        <v>4999.2390000000005</v>
      </c>
      <c r="N53" s="184">
        <f>'1 квартал'!N53+'2 квартал'!N53</f>
        <v>112927.03200000001</v>
      </c>
      <c r="O53" s="184">
        <f>'1 квартал'!O53+'2 квартал'!O53</f>
        <v>42.150999999999996</v>
      </c>
    </row>
    <row r="54" spans="1:15" ht="13.5" thickTop="1" thickBot="1">
      <c r="A54" s="862"/>
      <c r="B54" s="275"/>
      <c r="C54" s="276" t="s">
        <v>89</v>
      </c>
      <c r="D54" s="209">
        <f t="shared" si="14"/>
        <v>7000</v>
      </c>
      <c r="E54" s="210"/>
      <c r="F54" s="210"/>
      <c r="G54" s="240"/>
      <c r="H54" s="184">
        <f>'1 квартал'!H54+'2 квартал'!H54</f>
        <v>7000</v>
      </c>
      <c r="I54" s="210"/>
      <c r="J54" s="209">
        <f t="shared" si="15"/>
        <v>27789.817999999999</v>
      </c>
      <c r="K54" s="210"/>
      <c r="L54" s="210"/>
      <c r="M54" s="240"/>
      <c r="N54" s="184">
        <f>'1 квартал'!N54+'2 квартал'!N54</f>
        <v>27789.817999999999</v>
      </c>
      <c r="O54" s="210"/>
    </row>
    <row r="55" spans="1:15" ht="13.5" thickTop="1" thickBot="1">
      <c r="A55" s="862"/>
      <c r="B55" s="275"/>
      <c r="C55" s="276" t="s">
        <v>90</v>
      </c>
      <c r="D55" s="209">
        <f t="shared" si="14"/>
        <v>0</v>
      </c>
      <c r="E55" s="210"/>
      <c r="F55" s="210"/>
      <c r="G55" s="210"/>
      <c r="H55" s="212"/>
      <c r="I55" s="212"/>
      <c r="J55" s="209">
        <f t="shared" si="15"/>
        <v>0</v>
      </c>
      <c r="K55" s="210"/>
      <c r="L55" s="210"/>
      <c r="M55" s="210"/>
      <c r="N55" s="235"/>
      <c r="O55" s="235"/>
    </row>
    <row r="56" spans="1:15" ht="13.5" thickTop="1" thickBot="1">
      <c r="A56" s="862"/>
      <c r="B56" s="275"/>
      <c r="C56" s="276" t="s">
        <v>91</v>
      </c>
      <c r="D56" s="209">
        <f t="shared" si="14"/>
        <v>0</v>
      </c>
      <c r="E56" s="210"/>
      <c r="F56" s="210"/>
      <c r="G56" s="210"/>
      <c r="H56" s="210"/>
      <c r="I56" s="212"/>
      <c r="J56" s="209">
        <f t="shared" si="15"/>
        <v>0</v>
      </c>
      <c r="K56" s="210"/>
      <c r="L56" s="210"/>
      <c r="M56" s="210"/>
      <c r="N56" s="210"/>
      <c r="O56" s="235"/>
    </row>
    <row r="57" spans="1:15" ht="13.5" thickTop="1" thickBot="1">
      <c r="A57" s="862"/>
      <c r="B57" s="263" t="s">
        <v>96</v>
      </c>
      <c r="C57" s="263" t="s">
        <v>97</v>
      </c>
      <c r="D57" s="196">
        <f t="shared" si="14"/>
        <v>4045</v>
      </c>
      <c r="E57" s="196"/>
      <c r="F57" s="196"/>
      <c r="G57" s="196"/>
      <c r="H57" s="184">
        <f>'1 квартал'!H57+'2 квартал'!H57</f>
        <v>4045</v>
      </c>
      <c r="I57" s="196"/>
      <c r="J57" s="196">
        <f t="shared" si="15"/>
        <v>3539.3198000000002</v>
      </c>
      <c r="K57" s="196"/>
      <c r="L57" s="196"/>
      <c r="M57" s="196"/>
      <c r="N57" s="184">
        <f>'1 квартал'!N57+'2 квартал'!N57</f>
        <v>3539.3198000000002</v>
      </c>
      <c r="O57" s="196"/>
    </row>
    <row r="58" spans="1:15" ht="13.5" thickTop="1" thickBot="1">
      <c r="A58" s="862"/>
      <c r="B58" s="263" t="s">
        <v>98</v>
      </c>
      <c r="C58" s="263" t="s">
        <v>99</v>
      </c>
      <c r="D58" s="196">
        <f t="shared" si="14"/>
        <v>0</v>
      </c>
      <c r="E58" s="196"/>
      <c r="F58" s="196"/>
      <c r="G58" s="196"/>
      <c r="H58" s="184"/>
      <c r="I58" s="196"/>
      <c r="J58" s="196">
        <f t="shared" si="15"/>
        <v>0</v>
      </c>
      <c r="K58" s="196"/>
      <c r="L58" s="196"/>
      <c r="M58" s="196"/>
      <c r="N58" s="184"/>
      <c r="O58" s="196"/>
    </row>
    <row r="59" spans="1:15" ht="13.5" thickTop="1" thickBot="1">
      <c r="A59" s="862"/>
      <c r="B59" s="204" t="s">
        <v>171</v>
      </c>
      <c r="C59" s="205" t="s">
        <v>190</v>
      </c>
      <c r="D59" s="206">
        <f t="shared" si="14"/>
        <v>16600</v>
      </c>
      <c r="E59" s="338">
        <f>'1 квартал'!E59+'2 квартал'!E59</f>
        <v>0</v>
      </c>
      <c r="F59" s="338">
        <f>'1 квартал'!F59+'2 квартал'!F59</f>
        <v>11210</v>
      </c>
      <c r="G59" s="214"/>
      <c r="H59" s="338">
        <f>'1 квартал'!H59+'2 квартал'!H59</f>
        <v>2130</v>
      </c>
      <c r="I59" s="338">
        <f>'1 квартал'!I59+'2 квартал'!I59</f>
        <v>3260</v>
      </c>
      <c r="J59" s="206">
        <f t="shared" si="15"/>
        <v>14617.449000000001</v>
      </c>
      <c r="K59" s="184">
        <f>'1 квартал'!K59+'2 квартал'!K59</f>
        <v>0</v>
      </c>
      <c r="L59" s="184">
        <f>'1 квартал'!L59+'2 квартал'!L59</f>
        <v>7985.6559999999999</v>
      </c>
      <c r="M59" s="214"/>
      <c r="N59" s="338">
        <f>'1 квартал'!N59+'2 квартал'!N59</f>
        <v>2869.4859999999999</v>
      </c>
      <c r="O59" s="338">
        <f>'1 квартал'!O59+'2 квартал'!O59</f>
        <v>3762.3070000000002</v>
      </c>
    </row>
    <row r="60" spans="1:15" ht="13.5" thickTop="1" thickBot="1">
      <c r="A60" s="862"/>
      <c r="B60" s="182" t="s">
        <v>172</v>
      </c>
      <c r="C60" s="182" t="s">
        <v>88</v>
      </c>
      <c r="D60" s="196">
        <f t="shared" si="14"/>
        <v>0</v>
      </c>
      <c r="E60" s="196"/>
      <c r="F60" s="196"/>
      <c r="G60" s="196"/>
      <c r="H60" s="196"/>
      <c r="I60" s="196">
        <f>SUM(I61:I63)</f>
        <v>0</v>
      </c>
      <c r="J60" s="196">
        <f t="shared" si="15"/>
        <v>0</v>
      </c>
      <c r="K60" s="196"/>
      <c r="L60" s="196"/>
      <c r="M60" s="196"/>
      <c r="N60" s="196"/>
      <c r="O60" s="196"/>
    </row>
    <row r="61" spans="1:15" ht="13.5" thickTop="1" thickBot="1">
      <c r="A61" s="862"/>
      <c r="B61" s="207"/>
      <c r="C61" s="208" t="s">
        <v>89</v>
      </c>
      <c r="D61" s="209">
        <f t="shared" si="14"/>
        <v>0</v>
      </c>
      <c r="E61" s="210"/>
      <c r="F61" s="210"/>
      <c r="G61" s="209"/>
      <c r="H61" s="209"/>
      <c r="I61" s="210"/>
      <c r="J61" s="209">
        <f t="shared" si="15"/>
        <v>0</v>
      </c>
      <c r="K61" s="210"/>
      <c r="L61" s="210"/>
      <c r="M61" s="209"/>
      <c r="N61" s="209"/>
      <c r="O61" s="210"/>
    </row>
    <row r="62" spans="1:15" ht="13.5" thickTop="1" thickBot="1">
      <c r="A62" s="862"/>
      <c r="B62" s="207"/>
      <c r="C62" s="208" t="s">
        <v>90</v>
      </c>
      <c r="D62" s="209">
        <f t="shared" si="14"/>
        <v>0</v>
      </c>
      <c r="E62" s="210"/>
      <c r="F62" s="210"/>
      <c r="G62" s="210"/>
      <c r="H62" s="209"/>
      <c r="I62" s="209"/>
      <c r="J62" s="209">
        <f t="shared" si="15"/>
        <v>0</v>
      </c>
      <c r="K62" s="210"/>
      <c r="L62" s="210"/>
      <c r="M62" s="210"/>
      <c r="N62" s="209"/>
      <c r="O62" s="209"/>
    </row>
    <row r="63" spans="1:15" ht="13.5" thickTop="1" thickBot="1">
      <c r="A63" s="862"/>
      <c r="B63" s="207"/>
      <c r="C63" s="208" t="s">
        <v>91</v>
      </c>
      <c r="D63" s="209">
        <f t="shared" si="14"/>
        <v>0</v>
      </c>
      <c r="E63" s="210"/>
      <c r="F63" s="210"/>
      <c r="G63" s="210"/>
      <c r="H63" s="210"/>
      <c r="I63" s="209"/>
      <c r="J63" s="209">
        <f t="shared" si="15"/>
        <v>0</v>
      </c>
      <c r="K63" s="210"/>
      <c r="L63" s="210"/>
      <c r="M63" s="210"/>
      <c r="N63" s="210"/>
      <c r="O63" s="209"/>
    </row>
    <row r="64" spans="1:15" ht="13.5" thickTop="1" thickBot="1">
      <c r="A64" s="862"/>
      <c r="B64" s="182" t="s">
        <v>173</v>
      </c>
      <c r="C64" s="182" t="s">
        <v>93</v>
      </c>
      <c r="D64" s="196">
        <f t="shared" si="14"/>
        <v>0</v>
      </c>
      <c r="E64" s="184">
        <f>'1 квартал'!E64+'2 квартал'!E64</f>
        <v>0</v>
      </c>
      <c r="F64" s="184">
        <f>'1 квартал'!F64+'2 квартал'!F64</f>
        <v>0</v>
      </c>
      <c r="G64" s="211"/>
      <c r="H64" s="211"/>
      <c r="I64" s="196"/>
      <c r="J64" s="196">
        <f t="shared" si="15"/>
        <v>0</v>
      </c>
      <c r="K64" s="184">
        <f>'1 квартал'!K64+'2 квартал'!K64</f>
        <v>0</v>
      </c>
      <c r="L64" s="184">
        <f>'1 квартал'!L64+'2 квартал'!L64</f>
        <v>0</v>
      </c>
      <c r="M64" s="211"/>
      <c r="N64" s="211"/>
      <c r="O64" s="196"/>
    </row>
    <row r="65" spans="1:15" ht="13.5" thickTop="1" thickBot="1">
      <c r="A65" s="862"/>
      <c r="B65" s="182" t="s">
        <v>174</v>
      </c>
      <c r="C65" s="182" t="s">
        <v>95</v>
      </c>
      <c r="D65" s="213">
        <f t="shared" si="14"/>
        <v>0</v>
      </c>
      <c r="E65" s="184">
        <f>'1 квартал'!E65+'2 квартал'!E65</f>
        <v>0</v>
      </c>
      <c r="F65" s="209"/>
      <c r="G65" s="209"/>
      <c r="H65" s="209"/>
      <c r="I65" s="196"/>
      <c r="J65" s="431">
        <f t="shared" si="15"/>
        <v>0</v>
      </c>
      <c r="K65" s="184">
        <f>'1 квартал'!K65+'2 квартал'!K65</f>
        <v>0</v>
      </c>
      <c r="L65" s="240"/>
      <c r="M65" s="209"/>
      <c r="N65" s="209"/>
      <c r="O65" s="196"/>
    </row>
    <row r="66" spans="1:15" ht="13.5" thickTop="1" thickBot="1">
      <c r="A66" s="862"/>
      <c r="B66" s="207"/>
      <c r="C66" s="208" t="s">
        <v>89</v>
      </c>
      <c r="D66" s="209">
        <f t="shared" si="14"/>
        <v>0</v>
      </c>
      <c r="E66" s="210"/>
      <c r="F66" s="210"/>
      <c r="G66" s="209"/>
      <c r="H66" s="209"/>
      <c r="I66" s="210"/>
      <c r="J66" s="209">
        <f t="shared" si="15"/>
        <v>0</v>
      </c>
      <c r="K66" s="210"/>
      <c r="L66" s="210"/>
      <c r="M66" s="209"/>
      <c r="N66" s="209"/>
      <c r="O66" s="210"/>
    </row>
    <row r="67" spans="1:15" ht="13.5" thickTop="1" thickBot="1">
      <c r="A67" s="862"/>
      <c r="B67" s="207"/>
      <c r="C67" s="208" t="s">
        <v>90</v>
      </c>
      <c r="D67" s="209">
        <f t="shared" si="14"/>
        <v>0</v>
      </c>
      <c r="E67" s="210"/>
      <c r="F67" s="210"/>
      <c r="G67" s="210"/>
      <c r="H67" s="209"/>
      <c r="I67" s="209"/>
      <c r="J67" s="209">
        <f t="shared" si="15"/>
        <v>0</v>
      </c>
      <c r="K67" s="210"/>
      <c r="L67" s="210"/>
      <c r="M67" s="210"/>
      <c r="N67" s="209"/>
      <c r="O67" s="209"/>
    </row>
    <row r="68" spans="1:15" ht="13.5" thickTop="1" thickBot="1">
      <c r="A68" s="862"/>
      <c r="B68" s="207"/>
      <c r="C68" s="208" t="s">
        <v>91</v>
      </c>
      <c r="D68" s="209">
        <f t="shared" si="14"/>
        <v>0</v>
      </c>
      <c r="E68" s="210"/>
      <c r="F68" s="210"/>
      <c r="G68" s="210"/>
      <c r="H68" s="210"/>
      <c r="I68" s="209"/>
      <c r="J68" s="209">
        <f t="shared" si="15"/>
        <v>0</v>
      </c>
      <c r="K68" s="210"/>
      <c r="L68" s="210"/>
      <c r="M68" s="210"/>
      <c r="N68" s="210"/>
      <c r="O68" s="209"/>
    </row>
    <row r="69" spans="1:15" ht="13.5" thickTop="1" thickBot="1">
      <c r="A69" s="862"/>
      <c r="B69" s="182" t="s">
        <v>176</v>
      </c>
      <c r="C69" s="182" t="s">
        <v>97</v>
      </c>
      <c r="D69" s="196">
        <f t="shared" si="14"/>
        <v>0</v>
      </c>
      <c r="E69" s="196"/>
      <c r="F69" s="196"/>
      <c r="G69" s="196"/>
      <c r="H69" s="185"/>
      <c r="I69" s="196"/>
      <c r="J69" s="196">
        <f t="shared" si="15"/>
        <v>0</v>
      </c>
      <c r="K69" s="196"/>
      <c r="L69" s="196"/>
      <c r="M69" s="196"/>
      <c r="N69" s="185"/>
      <c r="O69" s="196"/>
    </row>
    <row r="70" spans="1:15" ht="13.5" thickTop="1" thickBot="1">
      <c r="A70" s="862"/>
      <c r="B70" s="182" t="s">
        <v>175</v>
      </c>
      <c r="C70" s="182" t="s">
        <v>99</v>
      </c>
      <c r="D70" s="196">
        <f t="shared" si="14"/>
        <v>0</v>
      </c>
      <c r="E70" s="196"/>
      <c r="F70" s="196"/>
      <c r="G70" s="196"/>
      <c r="H70" s="185"/>
      <c r="I70" s="196"/>
      <c r="J70" s="196">
        <f t="shared" si="15"/>
        <v>0</v>
      </c>
      <c r="K70" s="196"/>
      <c r="L70" s="196"/>
      <c r="M70" s="196"/>
      <c r="N70" s="185"/>
      <c r="O70" s="196"/>
    </row>
    <row r="71" spans="1:15" ht="13.5" thickTop="1" thickBot="1">
      <c r="A71" s="862"/>
      <c r="B71" s="204" t="s">
        <v>177</v>
      </c>
      <c r="C71" s="205" t="s">
        <v>203</v>
      </c>
      <c r="D71" s="206">
        <f t="shared" si="14"/>
        <v>29360</v>
      </c>
      <c r="E71" s="284"/>
      <c r="F71" s="284"/>
      <c r="G71" s="338">
        <f>'1 квартал'!G71+'2 квартал'!G71</f>
        <v>15360</v>
      </c>
      <c r="H71" s="338">
        <f>'1 квартал'!H71+'2 квартал'!H71</f>
        <v>14000</v>
      </c>
      <c r="I71" s="214"/>
      <c r="J71" s="206">
        <f t="shared" si="15"/>
        <v>28624.559000000001</v>
      </c>
      <c r="K71" s="284"/>
      <c r="L71" s="284"/>
      <c r="M71" s="184">
        <f>'1 квартал'!M71+'2 квартал'!M71</f>
        <v>14989.750000000002</v>
      </c>
      <c r="N71" s="184">
        <f>'1 квартал'!N71+'2 квартал'!N71</f>
        <v>6886.472999999999</v>
      </c>
      <c r="O71" s="184">
        <f>'1 квартал'!O71+'2 квартал'!O71</f>
        <v>6748.3360000000002</v>
      </c>
    </row>
    <row r="72" spans="1:15" ht="13.5" thickTop="1" thickBot="1">
      <c r="A72" s="862"/>
      <c r="B72" s="182" t="s">
        <v>178</v>
      </c>
      <c r="C72" s="182" t="s">
        <v>88</v>
      </c>
      <c r="D72" s="196">
        <f t="shared" si="14"/>
        <v>0</v>
      </c>
      <c r="E72" s="196"/>
      <c r="F72" s="196"/>
      <c r="G72" s="196"/>
      <c r="H72" s="196"/>
      <c r="I72" s="196"/>
      <c r="J72" s="196">
        <f t="shared" si="15"/>
        <v>0</v>
      </c>
      <c r="K72" s="196"/>
      <c r="L72" s="196"/>
      <c r="M72" s="196"/>
      <c r="N72" s="196"/>
      <c r="O72" s="196"/>
    </row>
    <row r="73" spans="1:15" ht="13.5" thickTop="1" thickBot="1">
      <c r="A73" s="862"/>
      <c r="B73" s="207"/>
      <c r="C73" s="208" t="s">
        <v>89</v>
      </c>
      <c r="D73" s="209">
        <f t="shared" si="14"/>
        <v>12865</v>
      </c>
      <c r="E73" s="210"/>
      <c r="F73" s="210"/>
      <c r="G73" s="184">
        <f>'1 квартал'!G73+'2 квартал'!G73</f>
        <v>3705</v>
      </c>
      <c r="H73" s="184">
        <f>'1 квартал'!H73+'2 квартал'!H73</f>
        <v>9160</v>
      </c>
      <c r="I73" s="210"/>
      <c r="J73" s="209">
        <f t="shared" si="15"/>
        <v>-17641.48</v>
      </c>
      <c r="K73" s="210"/>
      <c r="L73" s="210"/>
      <c r="M73" s="184">
        <f>'1 квартал'!M73+'2 квартал'!M73</f>
        <v>2780.023000000001</v>
      </c>
      <c r="N73" s="184">
        <f>'1 квартал'!N73+'2 квартал'!N73</f>
        <v>-20421.503000000001</v>
      </c>
      <c r="O73" s="210"/>
    </row>
    <row r="74" spans="1:15" ht="13.5" thickTop="1" thickBot="1">
      <c r="A74" s="862"/>
      <c r="B74" s="207"/>
      <c r="C74" s="208" t="s">
        <v>90</v>
      </c>
      <c r="D74" s="209">
        <f t="shared" si="14"/>
        <v>0</v>
      </c>
      <c r="E74" s="210"/>
      <c r="F74" s="210"/>
      <c r="G74" s="210"/>
      <c r="H74" s="209"/>
      <c r="I74" s="209"/>
      <c r="J74" s="209">
        <f t="shared" si="15"/>
        <v>0</v>
      </c>
      <c r="K74" s="210"/>
      <c r="L74" s="210"/>
      <c r="M74" s="210"/>
      <c r="N74" s="209"/>
      <c r="O74" s="209"/>
    </row>
    <row r="75" spans="1:15" ht="13.5" thickTop="1" thickBot="1">
      <c r="A75" s="862"/>
      <c r="B75" s="207"/>
      <c r="C75" s="208" t="s">
        <v>91</v>
      </c>
      <c r="D75" s="209">
        <f t="shared" si="14"/>
        <v>0</v>
      </c>
      <c r="E75" s="210"/>
      <c r="F75" s="210"/>
      <c r="G75" s="210"/>
      <c r="H75" s="210"/>
      <c r="I75" s="209"/>
      <c r="J75" s="209">
        <f t="shared" si="15"/>
        <v>0</v>
      </c>
      <c r="K75" s="210"/>
      <c r="L75" s="210"/>
      <c r="M75" s="210"/>
      <c r="N75" s="210"/>
      <c r="O75" s="209"/>
    </row>
    <row r="76" spans="1:15" ht="13.5" thickTop="1" thickBot="1">
      <c r="A76" s="862"/>
      <c r="B76" s="182" t="s">
        <v>179</v>
      </c>
      <c r="C76" s="182" t="s">
        <v>93</v>
      </c>
      <c r="D76" s="196">
        <f t="shared" si="14"/>
        <v>0</v>
      </c>
      <c r="E76" s="196"/>
      <c r="F76" s="196"/>
      <c r="G76" s="211"/>
      <c r="H76" s="211"/>
      <c r="I76" s="196"/>
      <c r="J76" s="196">
        <f t="shared" si="15"/>
        <v>0</v>
      </c>
      <c r="K76" s="196"/>
      <c r="L76" s="196"/>
      <c r="M76" s="211"/>
      <c r="N76" s="211"/>
      <c r="O76" s="196"/>
    </row>
    <row r="77" spans="1:15" ht="13.5" thickTop="1" thickBot="1">
      <c r="A77" s="862"/>
      <c r="B77" s="182" t="s">
        <v>180</v>
      </c>
      <c r="C77" s="182" t="s">
        <v>95</v>
      </c>
      <c r="D77" s="213">
        <f t="shared" si="14"/>
        <v>0</v>
      </c>
      <c r="E77" s="215"/>
      <c r="F77" s="209"/>
      <c r="G77" s="184"/>
      <c r="H77" s="184"/>
      <c r="I77" s="196"/>
      <c r="J77" s="431"/>
      <c r="K77" s="383"/>
      <c r="L77" s="209"/>
      <c r="M77" s="184"/>
      <c r="N77" s="184"/>
      <c r="O77" s="196"/>
    </row>
    <row r="78" spans="1:15" ht="13.5" thickTop="1" thickBot="1">
      <c r="A78" s="862"/>
      <c r="B78" s="207"/>
      <c r="C78" s="208" t="s">
        <v>89</v>
      </c>
      <c r="D78" s="209">
        <f t="shared" si="14"/>
        <v>16495</v>
      </c>
      <c r="E78" s="210"/>
      <c r="F78" s="210"/>
      <c r="G78" s="184">
        <f>'1 квартал'!G78+'2 квартал'!G78</f>
        <v>11655</v>
      </c>
      <c r="H78" s="184">
        <f>'1 квартал'!H78+'2 квартал'!H78</f>
        <v>4840</v>
      </c>
      <c r="I78" s="210"/>
      <c r="J78" s="209">
        <f t="shared" si="15"/>
        <v>18364.222999999998</v>
      </c>
      <c r="K78" s="210"/>
      <c r="L78" s="210"/>
      <c r="M78" s="184">
        <f>'1 квартал'!M78+'2 квартал'!M78</f>
        <v>12209.726999999999</v>
      </c>
      <c r="N78" s="184">
        <f>'1 квартал'!N78+'2 квартал'!N78</f>
        <v>6154.4959999999992</v>
      </c>
      <c r="O78" s="210"/>
    </row>
    <row r="79" spans="1:15" ht="13.5" thickTop="1" thickBot="1">
      <c r="A79" s="862"/>
      <c r="B79" s="207"/>
      <c r="C79" s="208" t="s">
        <v>90</v>
      </c>
      <c r="D79" s="209">
        <f t="shared" si="14"/>
        <v>0</v>
      </c>
      <c r="E79" s="210"/>
      <c r="F79" s="210"/>
      <c r="G79" s="210"/>
      <c r="H79" s="209"/>
      <c r="I79" s="209"/>
      <c r="J79" s="209">
        <f t="shared" si="15"/>
        <v>0</v>
      </c>
      <c r="K79" s="210"/>
      <c r="L79" s="210"/>
      <c r="M79" s="210"/>
      <c r="N79" s="209"/>
      <c r="O79" s="209"/>
    </row>
    <row r="80" spans="1:15" ht="13.5" thickTop="1" thickBot="1">
      <c r="A80" s="862"/>
      <c r="B80" s="207"/>
      <c r="C80" s="208" t="s">
        <v>91</v>
      </c>
      <c r="D80" s="209">
        <f t="shared" si="14"/>
        <v>0</v>
      </c>
      <c r="E80" s="210"/>
      <c r="F80" s="210"/>
      <c r="G80" s="210"/>
      <c r="H80" s="210"/>
      <c r="I80" s="209"/>
      <c r="J80" s="209">
        <f t="shared" si="15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196">
        <f t="shared" si="14"/>
        <v>0</v>
      </c>
      <c r="E81" s="196"/>
      <c r="F81" s="196"/>
      <c r="G81" s="196"/>
      <c r="H81" s="185"/>
      <c r="I81" s="196"/>
      <c r="J81" s="196">
        <f t="shared" si="15"/>
        <v>0</v>
      </c>
      <c r="K81" s="196"/>
      <c r="L81" s="196"/>
      <c r="M81" s="196"/>
      <c r="N81" s="185"/>
      <c r="O81" s="196"/>
    </row>
    <row r="82" spans="1:15" ht="13.5" thickTop="1" thickBot="1">
      <c r="A82" s="862"/>
      <c r="B82" s="182" t="s">
        <v>182</v>
      </c>
      <c r="C82" s="182" t="s">
        <v>99</v>
      </c>
      <c r="D82" s="196">
        <f t="shared" si="14"/>
        <v>0</v>
      </c>
      <c r="E82" s="196"/>
      <c r="F82" s="196"/>
      <c r="G82" s="196"/>
      <c r="H82" s="185"/>
      <c r="I82" s="196"/>
      <c r="J82" s="196">
        <f t="shared" si="15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196">
        <f t="shared" si="14"/>
        <v>420060</v>
      </c>
      <c r="E83" s="196"/>
      <c r="F83" s="338">
        <f>'1 квартал'!F83+'2 квартал'!F83</f>
        <v>420060</v>
      </c>
      <c r="G83" s="196"/>
      <c r="H83" s="185"/>
      <c r="I83" s="196"/>
      <c r="J83" s="206">
        <f t="shared" si="15"/>
        <v>387288.99099999998</v>
      </c>
      <c r="K83" s="196"/>
      <c r="L83" s="184">
        <f>'1 квартал'!L83+'2 квартал'!L83</f>
        <v>387288.99099999998</v>
      </c>
      <c r="M83" s="196"/>
      <c r="N83" s="185"/>
      <c r="O83" s="196"/>
    </row>
    <row r="84" spans="1:15" ht="13.5" thickTop="1" thickBot="1">
      <c r="A84" s="862"/>
      <c r="B84" s="182" t="s">
        <v>184</v>
      </c>
      <c r="C84" s="182" t="s">
        <v>88</v>
      </c>
      <c r="D84" s="196">
        <f t="shared" si="14"/>
        <v>0</v>
      </c>
      <c r="E84" s="196"/>
      <c r="F84" s="196"/>
      <c r="G84" s="196"/>
      <c r="H84" s="196"/>
      <c r="I84" s="196"/>
      <c r="J84" s="196">
        <f t="shared" si="15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209">
        <f t="shared" si="14"/>
        <v>0</v>
      </c>
      <c r="E85" s="210"/>
      <c r="F85" s="210"/>
      <c r="G85" s="209"/>
      <c r="H85" s="209"/>
      <c r="I85" s="210"/>
      <c r="J85" s="209">
        <f t="shared" si="15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209">
        <f t="shared" si="14"/>
        <v>0</v>
      </c>
      <c r="E86" s="210"/>
      <c r="F86" s="210"/>
      <c r="G86" s="210"/>
      <c r="H86" s="209"/>
      <c r="I86" s="209"/>
      <c r="J86" s="209">
        <f t="shared" si="15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209">
        <f t="shared" si="14"/>
        <v>0</v>
      </c>
      <c r="E87" s="210"/>
      <c r="F87" s="210"/>
      <c r="G87" s="210"/>
      <c r="H87" s="210"/>
      <c r="I87" s="209"/>
      <c r="J87" s="209">
        <f t="shared" si="15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196">
        <f t="shared" si="14"/>
        <v>0</v>
      </c>
      <c r="E88" s="196"/>
      <c r="F88" s="196"/>
      <c r="G88" s="211"/>
      <c r="H88" s="211"/>
      <c r="I88" s="196"/>
      <c r="J88" s="196">
        <f t="shared" si="15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213">
        <f t="shared" si="14"/>
        <v>175747</v>
      </c>
      <c r="E89" s="215"/>
      <c r="F89" s="184">
        <f>'1 квартал'!F89+'2 квартал'!F89</f>
        <v>175747</v>
      </c>
      <c r="G89" s="209"/>
      <c r="H89" s="209"/>
      <c r="I89" s="196"/>
      <c r="J89" s="213">
        <f t="shared" si="15"/>
        <v>153118.90000000002</v>
      </c>
      <c r="K89" s="383"/>
      <c r="L89" s="184">
        <f>'1 квартал'!L89+'2 квартал'!L89</f>
        <v>153118.90000000002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209">
        <f t="shared" si="14"/>
        <v>0</v>
      </c>
      <c r="E90" s="210"/>
      <c r="F90" s="210"/>
      <c r="G90" s="209"/>
      <c r="H90" s="209"/>
      <c r="I90" s="210"/>
      <c r="J90" s="209">
        <f t="shared" si="15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209">
        <f t="shared" si="14"/>
        <v>0</v>
      </c>
      <c r="E91" s="210"/>
      <c r="F91" s="210"/>
      <c r="G91" s="210"/>
      <c r="H91" s="209"/>
      <c r="I91" s="209"/>
      <c r="J91" s="209">
        <f t="shared" si="15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209">
        <f t="shared" si="14"/>
        <v>0</v>
      </c>
      <c r="E92" s="210"/>
      <c r="F92" s="210"/>
      <c r="G92" s="210"/>
      <c r="H92" s="210"/>
      <c r="I92" s="209"/>
      <c r="J92" s="209">
        <f t="shared" si="15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196">
        <f t="shared" si="14"/>
        <v>0</v>
      </c>
      <c r="E93" s="196"/>
      <c r="F93" s="196"/>
      <c r="G93" s="196"/>
      <c r="H93" s="185"/>
      <c r="I93" s="196"/>
      <c r="J93" s="196">
        <f t="shared" si="15"/>
        <v>0</v>
      </c>
      <c r="K93" s="196"/>
      <c r="L93" s="196"/>
      <c r="M93" s="196"/>
      <c r="N93" s="185"/>
      <c r="O93" s="196"/>
    </row>
    <row r="94" spans="1:15" ht="13.5" thickTop="1" thickBot="1">
      <c r="A94" s="862"/>
      <c r="B94" s="182" t="s">
        <v>188</v>
      </c>
      <c r="C94" s="182" t="s">
        <v>99</v>
      </c>
      <c r="D94" s="196">
        <f t="shared" si="14"/>
        <v>0</v>
      </c>
      <c r="E94" s="196"/>
      <c r="F94" s="196"/>
      <c r="G94" s="196"/>
      <c r="H94" s="185"/>
      <c r="I94" s="196"/>
      <c r="J94" s="196">
        <f t="shared" si="15"/>
        <v>0</v>
      </c>
      <c r="K94" s="196"/>
      <c r="L94" s="196"/>
      <c r="M94" s="196"/>
      <c r="N94" s="185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>
        <f t="shared" ref="D95:D106" si="16">SUM(E95:I95)</f>
        <v>29590</v>
      </c>
      <c r="E95" s="284"/>
      <c r="F95" s="325"/>
      <c r="G95" s="284"/>
      <c r="H95" s="338">
        <f>'1 квартал'!H95+'2 квартал'!H95</f>
        <v>29590</v>
      </c>
      <c r="I95" s="284"/>
      <c r="J95" s="206">
        <f t="shared" ref="J95:J106" si="17">SUM(K95:O95)</f>
        <v>16182.137000000001</v>
      </c>
      <c r="K95" s="284"/>
      <c r="L95" s="325"/>
      <c r="M95" s="214"/>
      <c r="N95" s="184">
        <f>'1 квартал'!N95+'2 квартал'!N95</f>
        <v>16182.137000000001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6"/>
        <v>0</v>
      </c>
      <c r="E96" s="324"/>
      <c r="F96" s="324"/>
      <c r="G96" s="324"/>
      <c r="H96" s="693"/>
      <c r="I96" s="324"/>
      <c r="J96" s="196">
        <f t="shared" si="17"/>
        <v>0</v>
      </c>
      <c r="K96" s="196"/>
      <c r="L96" s="196"/>
      <c r="M96" s="196"/>
      <c r="N96" s="196"/>
      <c r="O96" s="196"/>
    </row>
    <row r="97" spans="1:15" ht="13.5" thickTop="1" thickBot="1">
      <c r="A97" s="862"/>
      <c r="B97" s="207"/>
      <c r="C97" s="208" t="s">
        <v>89</v>
      </c>
      <c r="D97" s="326">
        <f t="shared" si="16"/>
        <v>10210</v>
      </c>
      <c r="E97" s="327"/>
      <c r="F97" s="327"/>
      <c r="G97" s="326"/>
      <c r="H97" s="338">
        <f>'1 квартал'!H97+'2 квартал'!H97</f>
        <v>10210</v>
      </c>
      <c r="I97" s="327"/>
      <c r="J97" s="209">
        <f t="shared" si="17"/>
        <v>2981.518</v>
      </c>
      <c r="K97" s="210"/>
      <c r="L97" s="210"/>
      <c r="M97" s="209"/>
      <c r="N97" s="338">
        <f>'1 квартал'!N97+'2 квартал'!N97</f>
        <v>2981.518</v>
      </c>
      <c r="O97" s="210"/>
    </row>
    <row r="98" spans="1:15" ht="13.5" thickTop="1" thickBot="1">
      <c r="A98" s="862"/>
      <c r="B98" s="207"/>
      <c r="C98" s="208" t="s">
        <v>90</v>
      </c>
      <c r="D98" s="326">
        <f t="shared" si="16"/>
        <v>11410</v>
      </c>
      <c r="E98" s="327"/>
      <c r="F98" s="327"/>
      <c r="G98" s="327"/>
      <c r="H98" s="338">
        <f>'1 квартал'!H98+'2 квартал'!H98</f>
        <v>11410</v>
      </c>
      <c r="I98" s="326"/>
      <c r="J98" s="209">
        <f t="shared" si="17"/>
        <v>4967.8979999999992</v>
      </c>
      <c r="K98" s="210"/>
      <c r="L98" s="210"/>
      <c r="M98" s="210"/>
      <c r="N98" s="338">
        <f>'1 квартал'!N98+'2 квартал'!N98</f>
        <v>4967.8979999999992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6"/>
        <v>0</v>
      </c>
      <c r="E99" s="327"/>
      <c r="F99" s="327"/>
      <c r="G99" s="327"/>
      <c r="H99" s="327"/>
      <c r="I99" s="326"/>
      <c r="J99" s="209">
        <f t="shared" si="17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6"/>
        <v>0</v>
      </c>
      <c r="E100" s="324"/>
      <c r="F100" s="324"/>
      <c r="G100" s="328"/>
      <c r="H100" s="184"/>
      <c r="I100" s="324"/>
      <c r="J100" s="196">
        <f t="shared" si="17"/>
        <v>0</v>
      </c>
      <c r="K100" s="196"/>
      <c r="L100" s="196"/>
      <c r="M100" s="211"/>
      <c r="N100" s="184"/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6"/>
        <v>0</v>
      </c>
      <c r="E101" s="380"/>
      <c r="F101" s="331"/>
      <c r="G101" s="326"/>
      <c r="H101" s="326"/>
      <c r="I101" s="324"/>
      <c r="J101" s="213">
        <f t="shared" si="17"/>
        <v>0</v>
      </c>
      <c r="K101" s="383"/>
      <c r="L101" s="320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6"/>
        <v>0</v>
      </c>
      <c r="E102" s="327"/>
      <c r="F102" s="327"/>
      <c r="G102" s="326"/>
      <c r="H102" s="326"/>
      <c r="I102" s="327"/>
      <c r="J102" s="209">
        <f t="shared" si="17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6"/>
        <v>0</v>
      </c>
      <c r="E103" s="327"/>
      <c r="F103" s="327"/>
      <c r="G103" s="327"/>
      <c r="H103" s="326"/>
      <c r="I103" s="326"/>
      <c r="J103" s="209">
        <f t="shared" si="17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6"/>
        <v>0</v>
      </c>
      <c r="E104" s="327"/>
      <c r="F104" s="327"/>
      <c r="G104" s="327"/>
      <c r="H104" s="327"/>
      <c r="I104" s="326"/>
      <c r="J104" s="209">
        <f t="shared" si="17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6"/>
        <v>0</v>
      </c>
      <c r="E105" s="324"/>
      <c r="F105" s="324"/>
      <c r="G105" s="324"/>
      <c r="H105" s="323"/>
      <c r="I105" s="324"/>
      <c r="J105" s="196">
        <f t="shared" si="17"/>
        <v>0</v>
      </c>
      <c r="K105" s="196"/>
      <c r="L105" s="196"/>
      <c r="M105" s="196"/>
      <c r="N105" s="185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6"/>
        <v>0</v>
      </c>
      <c r="E106" s="324"/>
      <c r="F106" s="324"/>
      <c r="G106" s="324"/>
      <c r="H106" s="323"/>
      <c r="I106" s="324"/>
      <c r="J106" s="196">
        <f t="shared" si="17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>
        <f t="shared" ref="D107:D118" si="18">SUM(E107:I107)</f>
        <v>0</v>
      </c>
      <c r="E107" s="284"/>
      <c r="F107" s="325"/>
      <c r="G107" s="284"/>
      <c r="H107" s="338">
        <f>'1 квартал'!H107+'2 квартал'!H107</f>
        <v>0</v>
      </c>
      <c r="I107" s="284"/>
      <c r="J107" s="206">
        <f t="shared" ref="J107:J118" si="19">SUM(K107:O107)</f>
        <v>2519.9610000000002</v>
      </c>
      <c r="K107" s="284"/>
      <c r="L107" s="325"/>
      <c r="M107" s="214"/>
      <c r="N107" s="338">
        <f>'1 квартал'!N107+'2 квартал'!N107</f>
        <v>2519.9610000000002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8"/>
        <v>0</v>
      </c>
      <c r="E108" s="324"/>
      <c r="F108" s="324"/>
      <c r="G108" s="324"/>
      <c r="H108" s="324"/>
      <c r="I108" s="324"/>
      <c r="J108" s="196">
        <f t="shared" si="19"/>
        <v>0</v>
      </c>
      <c r="K108" s="196"/>
      <c r="L108" s="196"/>
      <c r="M108" s="196"/>
      <c r="N108" s="196"/>
      <c r="O108" s="196"/>
    </row>
    <row r="109" spans="1:15" ht="13.5" thickTop="1" thickBot="1">
      <c r="A109" s="862"/>
      <c r="B109" s="207"/>
      <c r="C109" s="208" t="s">
        <v>89</v>
      </c>
      <c r="D109" s="326">
        <f t="shared" si="18"/>
        <v>0</v>
      </c>
      <c r="E109" s="327"/>
      <c r="F109" s="327"/>
      <c r="G109" s="326"/>
      <c r="H109" s="338">
        <f>'1 квартал'!H109+'2 квартал'!H109</f>
        <v>0</v>
      </c>
      <c r="I109" s="327"/>
      <c r="J109" s="209">
        <f t="shared" si="19"/>
        <v>2519.9610000000002</v>
      </c>
      <c r="K109" s="210"/>
      <c r="L109" s="210"/>
      <c r="M109" s="209"/>
      <c r="N109" s="338">
        <f>'1 квартал'!N109+'2 квартал'!N109</f>
        <v>2519.9610000000002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8"/>
        <v>0</v>
      </c>
      <c r="E110" s="327"/>
      <c r="F110" s="327"/>
      <c r="G110" s="327"/>
      <c r="H110" s="339"/>
      <c r="I110" s="326"/>
      <c r="J110" s="209">
        <f t="shared" si="19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8"/>
        <v>0</v>
      </c>
      <c r="E111" s="327"/>
      <c r="F111" s="327"/>
      <c r="G111" s="327"/>
      <c r="H111" s="327"/>
      <c r="I111" s="326"/>
      <c r="J111" s="209">
        <f t="shared" si="19"/>
        <v>0</v>
      </c>
      <c r="K111" s="210"/>
      <c r="L111" s="210"/>
      <c r="M111" s="210"/>
      <c r="N111" s="210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8"/>
        <v>0</v>
      </c>
      <c r="E112" s="324"/>
      <c r="F112" s="324"/>
      <c r="G112" s="328"/>
      <c r="H112" s="328"/>
      <c r="I112" s="324"/>
      <c r="J112" s="196">
        <f t="shared" si="19"/>
        <v>0</v>
      </c>
      <c r="K112" s="196"/>
      <c r="L112" s="196"/>
      <c r="M112" s="211"/>
      <c r="N112" s="211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8"/>
        <v>0</v>
      </c>
      <c r="E113" s="380"/>
      <c r="F113" s="331"/>
      <c r="G113" s="326"/>
      <c r="H113" s="326"/>
      <c r="I113" s="324"/>
      <c r="J113" s="213">
        <f t="shared" si="19"/>
        <v>0</v>
      </c>
      <c r="K113" s="383"/>
      <c r="L113" s="320"/>
      <c r="M113" s="209"/>
      <c r="N113" s="209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8"/>
        <v>0</v>
      </c>
      <c r="E114" s="327"/>
      <c r="F114" s="327"/>
      <c r="G114" s="326"/>
      <c r="H114" s="326"/>
      <c r="I114" s="327"/>
      <c r="J114" s="209">
        <f t="shared" si="19"/>
        <v>0</v>
      </c>
      <c r="K114" s="210"/>
      <c r="L114" s="210"/>
      <c r="M114" s="209"/>
      <c r="N114" s="209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8"/>
        <v>0</v>
      </c>
      <c r="E115" s="327"/>
      <c r="F115" s="327"/>
      <c r="G115" s="327"/>
      <c r="H115" s="326"/>
      <c r="I115" s="326"/>
      <c r="J115" s="209">
        <f t="shared" si="19"/>
        <v>0</v>
      </c>
      <c r="K115" s="210"/>
      <c r="L115" s="210"/>
      <c r="M115" s="210"/>
      <c r="N115" s="209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8"/>
        <v>0</v>
      </c>
      <c r="E116" s="327"/>
      <c r="F116" s="327"/>
      <c r="G116" s="327"/>
      <c r="H116" s="327"/>
      <c r="I116" s="326"/>
      <c r="J116" s="209">
        <f t="shared" si="19"/>
        <v>0</v>
      </c>
      <c r="K116" s="210"/>
      <c r="L116" s="210"/>
      <c r="M116" s="210"/>
      <c r="N116" s="210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8"/>
        <v>0</v>
      </c>
      <c r="E117" s="324"/>
      <c r="F117" s="324"/>
      <c r="G117" s="324"/>
      <c r="H117" s="324"/>
      <c r="I117" s="324"/>
      <c r="J117" s="196">
        <f t="shared" si="19"/>
        <v>0</v>
      </c>
      <c r="K117" s="196"/>
      <c r="L117" s="196"/>
      <c r="M117" s="196"/>
      <c r="N117" s="185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8"/>
        <v>0</v>
      </c>
      <c r="E118" s="324"/>
      <c r="F118" s="324"/>
      <c r="G118" s="324"/>
      <c r="H118" s="323"/>
      <c r="I118" s="324"/>
      <c r="J118" s="196">
        <f t="shared" si="19"/>
        <v>0</v>
      </c>
      <c r="K118" s="196"/>
      <c r="L118" s="196"/>
      <c r="M118" s="196"/>
      <c r="N118" s="196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>
        <f t="shared" ref="D119:D130" si="20">SUM(E119:I119)</f>
        <v>0</v>
      </c>
      <c r="E119" s="284"/>
      <c r="F119" s="325"/>
      <c r="G119" s="284"/>
      <c r="H119" s="338">
        <f>'1 квартал'!H119+'2 квартал'!H119</f>
        <v>0</v>
      </c>
      <c r="I119" s="284"/>
      <c r="J119" s="206">
        <f t="shared" ref="J119:J130" si="21">SUM(K119:O119)</f>
        <v>1051.1790000000001</v>
      </c>
      <c r="K119" s="284"/>
      <c r="L119" s="325"/>
      <c r="M119" s="214"/>
      <c r="N119" s="338">
        <f>'1 квартал'!N119+'2 квартал'!N119</f>
        <v>1051.1790000000001</v>
      </c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20"/>
        <v>0</v>
      </c>
      <c r="E120" s="324"/>
      <c r="F120" s="324"/>
      <c r="G120" s="324"/>
      <c r="H120" s="324"/>
      <c r="I120" s="324"/>
      <c r="J120" s="196">
        <f t="shared" si="21"/>
        <v>0</v>
      </c>
      <c r="K120" s="196"/>
      <c r="L120" s="196"/>
      <c r="M120" s="196"/>
      <c r="N120" s="324"/>
      <c r="O120" s="196"/>
    </row>
    <row r="121" spans="1:15" ht="13.5" thickTop="1" thickBot="1">
      <c r="A121" s="862"/>
      <c r="B121" s="207"/>
      <c r="C121" s="208" t="s">
        <v>89</v>
      </c>
      <c r="D121" s="326">
        <f t="shared" si="20"/>
        <v>0</v>
      </c>
      <c r="E121" s="327"/>
      <c r="F121" s="327"/>
      <c r="G121" s="326"/>
      <c r="H121" s="338">
        <f>'1 квартал'!H121+'2 квартал'!H121</f>
        <v>0</v>
      </c>
      <c r="I121" s="327"/>
      <c r="J121" s="209">
        <f t="shared" si="21"/>
        <v>1051.1790000000001</v>
      </c>
      <c r="K121" s="210"/>
      <c r="L121" s="210"/>
      <c r="M121" s="209"/>
      <c r="N121" s="338">
        <f>'1 квартал'!N121+'2 квартал'!N121</f>
        <v>1051.1790000000001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20"/>
        <v>0</v>
      </c>
      <c r="E122" s="327"/>
      <c r="F122" s="327"/>
      <c r="G122" s="327"/>
      <c r="H122" s="339"/>
      <c r="I122" s="326"/>
      <c r="J122" s="209">
        <f t="shared" si="21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20"/>
        <v>0</v>
      </c>
      <c r="E123" s="327"/>
      <c r="F123" s="327"/>
      <c r="G123" s="327"/>
      <c r="H123" s="327"/>
      <c r="I123" s="326"/>
      <c r="J123" s="209">
        <f t="shared" si="21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20"/>
        <v>0</v>
      </c>
      <c r="E124" s="324"/>
      <c r="F124" s="324"/>
      <c r="G124" s="328"/>
      <c r="H124" s="328"/>
      <c r="I124" s="324"/>
      <c r="J124" s="196">
        <f t="shared" si="21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20"/>
        <v>0</v>
      </c>
      <c r="E125" s="380"/>
      <c r="F125" s="331"/>
      <c r="G125" s="326"/>
      <c r="H125" s="326"/>
      <c r="I125" s="324"/>
      <c r="J125" s="213">
        <f t="shared" si="21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20"/>
        <v>0</v>
      </c>
      <c r="E126" s="327"/>
      <c r="F126" s="327"/>
      <c r="G126" s="326"/>
      <c r="H126" s="326"/>
      <c r="I126" s="327"/>
      <c r="J126" s="209">
        <f t="shared" si="21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20"/>
        <v>0</v>
      </c>
      <c r="E127" s="327"/>
      <c r="F127" s="327"/>
      <c r="G127" s="327"/>
      <c r="H127" s="326"/>
      <c r="I127" s="326"/>
      <c r="J127" s="209">
        <f t="shared" si="21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20"/>
        <v>0</v>
      </c>
      <c r="E128" s="327"/>
      <c r="F128" s="327"/>
      <c r="G128" s="327"/>
      <c r="H128" s="327"/>
      <c r="I128" s="326"/>
      <c r="J128" s="209">
        <f t="shared" si="21"/>
        <v>0</v>
      </c>
      <c r="K128" s="210"/>
      <c r="L128" s="210"/>
      <c r="M128" s="210"/>
      <c r="N128" s="210"/>
      <c r="O128" s="209"/>
    </row>
    <row r="129" spans="1:16" ht="13.5" thickTop="1" thickBot="1">
      <c r="A129" s="862"/>
      <c r="B129" s="182" t="s">
        <v>246</v>
      </c>
      <c r="C129" s="182" t="s">
        <v>97</v>
      </c>
      <c r="D129" s="324">
        <f t="shared" si="20"/>
        <v>0</v>
      </c>
      <c r="E129" s="324"/>
      <c r="F129" s="324"/>
      <c r="G129" s="324"/>
      <c r="H129" s="324"/>
      <c r="I129" s="324"/>
      <c r="J129" s="196">
        <f t="shared" si="21"/>
        <v>0</v>
      </c>
      <c r="K129" s="196"/>
      <c r="L129" s="196"/>
      <c r="M129" s="196"/>
      <c r="N129" s="185"/>
      <c r="O129" s="196"/>
    </row>
    <row r="130" spans="1:16" ht="13.5" thickTop="1" thickBot="1">
      <c r="A130" s="862"/>
      <c r="B130" s="182" t="s">
        <v>247</v>
      </c>
      <c r="C130" s="182" t="s">
        <v>99</v>
      </c>
      <c r="D130" s="324">
        <f t="shared" si="20"/>
        <v>0</v>
      </c>
      <c r="E130" s="324"/>
      <c r="F130" s="324"/>
      <c r="G130" s="324"/>
      <c r="H130" s="323"/>
      <c r="I130" s="324"/>
      <c r="J130" s="196">
        <f t="shared" si="21"/>
        <v>0</v>
      </c>
      <c r="K130" s="196"/>
      <c r="L130" s="196"/>
      <c r="M130" s="196"/>
      <c r="N130" s="196"/>
      <c r="O130" s="196"/>
    </row>
    <row r="131" spans="1:16" ht="13.5" thickTop="1" thickBot="1">
      <c r="A131" s="862"/>
      <c r="B131" s="204" t="s">
        <v>250</v>
      </c>
      <c r="C131" s="595" t="s">
        <v>249</v>
      </c>
      <c r="D131" s="325">
        <f t="shared" ref="D131:D142" si="22">SUM(E131:I131)</f>
        <v>0</v>
      </c>
      <c r="E131" s="284"/>
      <c r="F131" s="325"/>
      <c r="G131" s="284"/>
      <c r="H131" s="339"/>
      <c r="I131" s="284"/>
      <c r="J131" s="206">
        <f t="shared" ref="J131:J142" si="23">SUM(K131:O131)</f>
        <v>0</v>
      </c>
      <c r="K131" s="284"/>
      <c r="L131" s="325"/>
      <c r="M131" s="214"/>
      <c r="N131" s="339"/>
      <c r="O131" s="214"/>
    </row>
    <row r="132" spans="1:16" ht="13.5" thickTop="1" thickBot="1">
      <c r="A132" s="862"/>
      <c r="B132" s="182" t="s">
        <v>251</v>
      </c>
      <c r="C132" s="182" t="s">
        <v>88</v>
      </c>
      <c r="D132" s="324">
        <f t="shared" si="22"/>
        <v>0</v>
      </c>
      <c r="E132" s="324"/>
      <c r="F132" s="324"/>
      <c r="G132" s="324"/>
      <c r="H132" s="324"/>
      <c r="I132" s="324"/>
      <c r="J132" s="196">
        <f t="shared" si="23"/>
        <v>0</v>
      </c>
      <c r="K132" s="196"/>
      <c r="L132" s="196"/>
      <c r="M132" s="196"/>
      <c r="N132" s="196"/>
      <c r="O132" s="196"/>
    </row>
    <row r="133" spans="1:16" ht="13.5" thickTop="1" thickBot="1">
      <c r="A133" s="862"/>
      <c r="B133" s="207"/>
      <c r="C133" s="208" t="s">
        <v>89</v>
      </c>
      <c r="D133" s="326">
        <f t="shared" si="22"/>
        <v>0</v>
      </c>
      <c r="E133" s="327"/>
      <c r="F133" s="327"/>
      <c r="G133" s="326"/>
      <c r="H133" s="339"/>
      <c r="I133" s="327"/>
      <c r="J133" s="209">
        <f t="shared" si="23"/>
        <v>0</v>
      </c>
      <c r="K133" s="210"/>
      <c r="L133" s="210"/>
      <c r="M133" s="209"/>
      <c r="N133" s="339"/>
      <c r="O133" s="210"/>
    </row>
    <row r="134" spans="1:16" ht="13.5" thickTop="1" thickBot="1">
      <c r="A134" s="862"/>
      <c r="B134" s="207"/>
      <c r="C134" s="208" t="s">
        <v>90</v>
      </c>
      <c r="D134" s="326">
        <f t="shared" si="22"/>
        <v>0</v>
      </c>
      <c r="E134" s="327"/>
      <c r="F134" s="327"/>
      <c r="G134" s="327"/>
      <c r="H134" s="339"/>
      <c r="I134" s="326"/>
      <c r="J134" s="209">
        <f t="shared" si="23"/>
        <v>0</v>
      </c>
      <c r="K134" s="210"/>
      <c r="L134" s="210"/>
      <c r="M134" s="210"/>
      <c r="N134" s="699"/>
      <c r="O134" s="209"/>
    </row>
    <row r="135" spans="1:16" ht="13.5" thickTop="1" thickBot="1">
      <c r="A135" s="862"/>
      <c r="B135" s="207"/>
      <c r="C135" s="208" t="s">
        <v>91</v>
      </c>
      <c r="D135" s="326">
        <f t="shared" si="22"/>
        <v>0</v>
      </c>
      <c r="E135" s="327"/>
      <c r="F135" s="327"/>
      <c r="G135" s="327"/>
      <c r="H135" s="327"/>
      <c r="I135" s="326"/>
      <c r="J135" s="209">
        <f t="shared" si="23"/>
        <v>0</v>
      </c>
      <c r="K135" s="210"/>
      <c r="L135" s="210"/>
      <c r="M135" s="210"/>
      <c r="N135" s="210"/>
      <c r="O135" s="209"/>
    </row>
    <row r="136" spans="1:16" ht="13.5" thickTop="1" thickBot="1">
      <c r="A136" s="862"/>
      <c r="B136" s="182" t="s">
        <v>252</v>
      </c>
      <c r="C136" s="182" t="s">
        <v>93</v>
      </c>
      <c r="D136" s="324">
        <f t="shared" si="22"/>
        <v>0</v>
      </c>
      <c r="E136" s="324"/>
      <c r="F136" s="324"/>
      <c r="G136" s="328"/>
      <c r="H136" s="328"/>
      <c r="I136" s="324"/>
      <c r="J136" s="196">
        <f t="shared" si="23"/>
        <v>0</v>
      </c>
      <c r="K136" s="196"/>
      <c r="L136" s="196"/>
      <c r="M136" s="211"/>
      <c r="N136" s="211"/>
      <c r="O136" s="196"/>
    </row>
    <row r="137" spans="1:16" ht="13.5" thickTop="1" thickBot="1">
      <c r="A137" s="862"/>
      <c r="B137" s="182" t="s">
        <v>253</v>
      </c>
      <c r="C137" s="182" t="s">
        <v>95</v>
      </c>
      <c r="D137" s="330">
        <f t="shared" si="22"/>
        <v>0</v>
      </c>
      <c r="E137" s="380"/>
      <c r="F137" s="331"/>
      <c r="G137" s="326"/>
      <c r="H137" s="326"/>
      <c r="I137" s="324"/>
      <c r="J137" s="213">
        <f t="shared" si="23"/>
        <v>0</v>
      </c>
      <c r="K137" s="383"/>
      <c r="L137" s="320"/>
      <c r="M137" s="209"/>
      <c r="N137" s="209"/>
      <c r="O137" s="196"/>
    </row>
    <row r="138" spans="1:16" ht="13.5" thickTop="1" thickBot="1">
      <c r="A138" s="862"/>
      <c r="B138" s="207"/>
      <c r="C138" s="208" t="s">
        <v>89</v>
      </c>
      <c r="D138" s="326">
        <f t="shared" si="22"/>
        <v>0</v>
      </c>
      <c r="E138" s="327"/>
      <c r="F138" s="327"/>
      <c r="G138" s="326"/>
      <c r="H138" s="326"/>
      <c r="I138" s="327"/>
      <c r="J138" s="209">
        <f t="shared" si="23"/>
        <v>0</v>
      </c>
      <c r="K138" s="210"/>
      <c r="L138" s="210"/>
      <c r="M138" s="209"/>
      <c r="N138" s="209"/>
      <c r="O138" s="210"/>
    </row>
    <row r="139" spans="1:16" ht="13.5" thickTop="1" thickBot="1">
      <c r="A139" s="862"/>
      <c r="B139" s="207"/>
      <c r="C139" s="208" t="s">
        <v>90</v>
      </c>
      <c r="D139" s="326">
        <f t="shared" si="22"/>
        <v>0</v>
      </c>
      <c r="E139" s="327"/>
      <c r="F139" s="327"/>
      <c r="G139" s="327"/>
      <c r="H139" s="326"/>
      <c r="I139" s="326"/>
      <c r="J139" s="209">
        <f t="shared" si="23"/>
        <v>0</v>
      </c>
      <c r="K139" s="210"/>
      <c r="L139" s="210"/>
      <c r="M139" s="210"/>
      <c r="N139" s="209"/>
      <c r="O139" s="209"/>
    </row>
    <row r="140" spans="1:16" ht="13.5" thickTop="1" thickBot="1">
      <c r="A140" s="862"/>
      <c r="B140" s="207"/>
      <c r="C140" s="208" t="s">
        <v>91</v>
      </c>
      <c r="D140" s="326">
        <f t="shared" si="22"/>
        <v>0</v>
      </c>
      <c r="E140" s="327"/>
      <c r="F140" s="327"/>
      <c r="G140" s="327"/>
      <c r="H140" s="327"/>
      <c r="I140" s="326"/>
      <c r="J140" s="209">
        <f t="shared" si="23"/>
        <v>0</v>
      </c>
      <c r="K140" s="210"/>
      <c r="L140" s="210"/>
      <c r="M140" s="210"/>
      <c r="N140" s="210"/>
      <c r="O140" s="209"/>
    </row>
    <row r="141" spans="1:16" ht="13.5" thickTop="1" thickBot="1">
      <c r="A141" s="862"/>
      <c r="B141" s="182" t="s">
        <v>254</v>
      </c>
      <c r="C141" s="182" t="s">
        <v>97</v>
      </c>
      <c r="D141" s="324">
        <f t="shared" si="22"/>
        <v>0</v>
      </c>
      <c r="E141" s="324"/>
      <c r="F141" s="324"/>
      <c r="G141" s="324"/>
      <c r="H141" s="324"/>
      <c r="I141" s="324"/>
      <c r="J141" s="196">
        <f t="shared" si="23"/>
        <v>0</v>
      </c>
      <c r="K141" s="196"/>
      <c r="L141" s="196"/>
      <c r="M141" s="196"/>
      <c r="N141" s="185"/>
      <c r="O141" s="196"/>
    </row>
    <row r="142" spans="1:16" ht="13.5" thickTop="1" thickBot="1">
      <c r="A142" s="862"/>
      <c r="B142" s="182" t="s">
        <v>255</v>
      </c>
      <c r="C142" s="182" t="s">
        <v>99</v>
      </c>
      <c r="D142" s="324">
        <f t="shared" si="22"/>
        <v>0</v>
      </c>
      <c r="E142" s="324"/>
      <c r="F142" s="324"/>
      <c r="G142" s="324"/>
      <c r="H142" s="323"/>
      <c r="I142" s="324"/>
      <c r="J142" s="196">
        <f t="shared" si="23"/>
        <v>0</v>
      </c>
      <c r="K142" s="196"/>
      <c r="L142" s="196"/>
      <c r="M142" s="196"/>
      <c r="N142" s="196"/>
      <c r="O142" s="196"/>
    </row>
    <row r="143" spans="1:16" ht="12.75" customHeight="1" thickTop="1" thickBot="1">
      <c r="A143" s="862"/>
      <c r="B143" s="257" t="s">
        <v>100</v>
      </c>
      <c r="C143" s="257" t="s">
        <v>101</v>
      </c>
      <c r="D143" s="181">
        <f t="shared" si="14"/>
        <v>1644989.8</v>
      </c>
      <c r="E143" s="233">
        <f>SUM(E144:E147)</f>
        <v>0</v>
      </c>
      <c r="F143" s="233">
        <f>SUM(F144:F147)</f>
        <v>547020</v>
      </c>
      <c r="G143" s="233">
        <f>SUM(G144:G147)</f>
        <v>24390.2</v>
      </c>
      <c r="H143" s="233">
        <f>SUM(H144:H147)</f>
        <v>414591.80000000005</v>
      </c>
      <c r="I143" s="181">
        <f>SUM(I144:I147)</f>
        <v>658987.80000000005</v>
      </c>
      <c r="J143" s="181">
        <f t="shared" si="15"/>
        <v>1522697.112</v>
      </c>
      <c r="K143" s="233">
        <f>SUM(K144:K147)</f>
        <v>0</v>
      </c>
      <c r="L143" s="233">
        <f>SUM(L144:L147)</f>
        <v>521315.75600000005</v>
      </c>
      <c r="M143" s="233">
        <f>SUM(M144:M147)</f>
        <v>13812.59</v>
      </c>
      <c r="N143" s="233">
        <f>SUM(N144:N147)</f>
        <v>375573.13799999992</v>
      </c>
      <c r="O143" s="181">
        <f>SUM(O144:O147)</f>
        <v>611995.62800000003</v>
      </c>
      <c r="P143" s="24"/>
    </row>
    <row r="144" spans="1:16" ht="12.75" customHeight="1" thickTop="1" thickBot="1">
      <c r="A144" s="862"/>
      <c r="B144" s="249" t="s">
        <v>102</v>
      </c>
      <c r="C144" s="250" t="s">
        <v>103</v>
      </c>
      <c r="D144" s="217">
        <f t="shared" si="14"/>
        <v>434112.65218999999</v>
      </c>
      <c r="E144" s="235"/>
      <c r="F144" s="235"/>
      <c r="G144" s="235"/>
      <c r="H144" s="235"/>
      <c r="I144" s="184">
        <f>'1 квартал'!I144+'2 квартал'!I144</f>
        <v>434112.65218999999</v>
      </c>
      <c r="J144" s="218">
        <f t="shared" si="15"/>
        <v>433757.27299999999</v>
      </c>
      <c r="K144" s="440"/>
      <c r="L144" s="440"/>
      <c r="M144" s="440"/>
      <c r="N144" s="440"/>
      <c r="O144" s="334">
        <f>'1 квартал'!O144+'2 квартал'!O144</f>
        <v>433757.27299999999</v>
      </c>
      <c r="P144" s="24"/>
    </row>
    <row r="145" spans="1:19" ht="12.75" customHeight="1" thickTop="1" thickBot="1">
      <c r="A145" s="862"/>
      <c r="B145" s="249" t="s">
        <v>104</v>
      </c>
      <c r="C145" s="250" t="s">
        <v>206</v>
      </c>
      <c r="D145" s="217"/>
      <c r="E145" s="235"/>
      <c r="F145" s="235"/>
      <c r="G145" s="235"/>
      <c r="H145" s="235"/>
      <c r="I145" s="184"/>
      <c r="J145" s="218"/>
      <c r="K145" s="440"/>
      <c r="L145" s="440"/>
      <c r="M145" s="440"/>
      <c r="N145" s="440"/>
      <c r="O145" s="334">
        <f>'1 квартал'!O145+'2 квартал'!O145</f>
        <v>0</v>
      </c>
      <c r="P145" s="24"/>
    </row>
    <row r="146" spans="1:19" ht="12.75" customHeight="1" thickTop="1" thickBot="1">
      <c r="A146" s="862"/>
      <c r="B146" s="249" t="s">
        <v>106</v>
      </c>
      <c r="C146" s="250" t="s">
        <v>105</v>
      </c>
      <c r="D146" s="217">
        <f t="shared" si="14"/>
        <v>1210877.14781</v>
      </c>
      <c r="E146" s="184">
        <f>'1 квартал'!E146+'2 квартал'!E146</f>
        <v>0</v>
      </c>
      <c r="F146" s="184">
        <f>'1 квартал'!F146+'2 квартал'!F146</f>
        <v>547020</v>
      </c>
      <c r="G146" s="184">
        <f>'1 квартал'!G146+'2 квартал'!G146</f>
        <v>24390.2</v>
      </c>
      <c r="H146" s="184">
        <f>'1 квартал'!H146+'2 квартал'!H146</f>
        <v>414591.80000000005</v>
      </c>
      <c r="I146" s="184">
        <f>'1 квартал'!I146+'2 квартал'!I146</f>
        <v>224875.14780999999</v>
      </c>
      <c r="J146" s="218">
        <f t="shared" si="15"/>
        <v>942149.40899999999</v>
      </c>
      <c r="K146" s="440"/>
      <c r="L146" s="334">
        <f>'1 квартал'!L146+'2 квартал'!L146</f>
        <v>521315.75600000005</v>
      </c>
      <c r="M146" s="334">
        <f>'1 квартал'!M146+'2 квартал'!M146</f>
        <v>12995.807000000001</v>
      </c>
      <c r="N146" s="334">
        <f>'1 квартал'!N146+'2 квартал'!N146</f>
        <v>263419.22699999996</v>
      </c>
      <c r="O146" s="334">
        <f>'1 квартал'!O146+'2 квартал'!O146</f>
        <v>144418.61900000001</v>
      </c>
    </row>
    <row r="147" spans="1:19" ht="12.75" customHeight="1" thickTop="1" thickBot="1">
      <c r="A147" s="862"/>
      <c r="B147" s="249" t="s">
        <v>207</v>
      </c>
      <c r="C147" s="250" t="s">
        <v>107</v>
      </c>
      <c r="D147" s="217">
        <f t="shared" si="14"/>
        <v>0</v>
      </c>
      <c r="E147" s="184">
        <f>'1 квартал'!E147+'2 квартал'!E147</f>
        <v>0</v>
      </c>
      <c r="F147" s="184">
        <f>'1 квартал'!F147+'2 квартал'!F147</f>
        <v>0</v>
      </c>
      <c r="G147" s="184">
        <f>'1 квартал'!G147+'2 квартал'!G147</f>
        <v>0</v>
      </c>
      <c r="H147" s="184">
        <f>'1 квартал'!H147+'2 квартал'!H147</f>
        <v>0</v>
      </c>
      <c r="I147" s="184">
        <f>'1 квартал'!I147+'2 квартал'!I147</f>
        <v>0</v>
      </c>
      <c r="J147" s="218">
        <f t="shared" si="15"/>
        <v>146790.43</v>
      </c>
      <c r="K147" s="334">
        <f>'1 квартал'!K147+'2 квартал'!K147</f>
        <v>0</v>
      </c>
      <c r="L147" s="334">
        <f>'1 квартал'!L147+'2 квартал'!L147</f>
        <v>0</v>
      </c>
      <c r="M147" s="334">
        <f>'1 квартал'!M147+'2 квартал'!M147</f>
        <v>816.7829999999999</v>
      </c>
      <c r="N147" s="334">
        <f>'1 квартал'!N147+'2 квартал'!N147</f>
        <v>112153.91099999999</v>
      </c>
      <c r="O147" s="334">
        <f>'1 квартал'!O147+'2 квартал'!O147</f>
        <v>33819.735999999997</v>
      </c>
    </row>
    <row r="148" spans="1:19" ht="12.75" customHeight="1" thickTop="1" thickBot="1">
      <c r="A148" s="862"/>
      <c r="B148" s="249" t="s">
        <v>108</v>
      </c>
      <c r="C148" s="249" t="s">
        <v>169</v>
      </c>
      <c r="D148" s="291">
        <f>D150/1.18/D143</f>
        <v>1.1655803303985965</v>
      </c>
      <c r="E148" s="596">
        <v>0.93222000000000005</v>
      </c>
      <c r="F148" s="596">
        <v>0.93222000000000005</v>
      </c>
      <c r="G148" s="596">
        <v>1.21035</v>
      </c>
      <c r="H148" s="596">
        <v>1.94818</v>
      </c>
      <c r="I148" s="596">
        <v>2.8441000000000001</v>
      </c>
      <c r="J148" s="291">
        <f>J150/1.18/J143</f>
        <v>1.1442335800992314</v>
      </c>
      <c r="K148" s="596">
        <v>0.93222000000000005</v>
      </c>
      <c r="L148" s="596">
        <v>0.93222000000000005</v>
      </c>
      <c r="M148" s="596">
        <v>1.21035</v>
      </c>
      <c r="N148" s="596">
        <v>1.94818</v>
      </c>
      <c r="O148" s="596">
        <v>2.8441000000000001</v>
      </c>
    </row>
    <row r="149" spans="1:19" ht="12.75" customHeight="1" thickTop="1" thickBot="1">
      <c r="A149" s="862"/>
      <c r="B149" s="249" t="s">
        <v>205</v>
      </c>
      <c r="C149" s="249" t="s">
        <v>169</v>
      </c>
      <c r="D149" s="291"/>
      <c r="E149" s="289"/>
      <c r="F149" s="290"/>
      <c r="G149" s="290"/>
      <c r="H149" s="290"/>
      <c r="I149" s="598">
        <v>1.5637700000000001</v>
      </c>
      <c r="J149" s="291"/>
      <c r="K149" s="289"/>
      <c r="L149" s="290"/>
      <c r="M149" s="290"/>
      <c r="N149" s="290"/>
      <c r="O149" s="598">
        <v>1.5637700000000001</v>
      </c>
    </row>
    <row r="150" spans="1:19" ht="12.75" customHeight="1" thickTop="1" thickBot="1">
      <c r="A150" s="862"/>
      <c r="B150" s="249" t="s">
        <v>109</v>
      </c>
      <c r="C150" s="292" t="s">
        <v>110</v>
      </c>
      <c r="D150" s="285">
        <f>SUM(E150:I150)</f>
        <v>2262493.950411859</v>
      </c>
      <c r="E150" s="621">
        <f>'1 квартал'!E150+'2 квартал'!E150</f>
        <v>0</v>
      </c>
      <c r="F150" s="621">
        <f>'1 квартал'!F150+'2 квартал'!F150</f>
        <v>355669.0487490354</v>
      </c>
      <c r="G150" s="621">
        <f>'1 квартал'!G150+'2 квартал'!G150</f>
        <v>25413.988401079998</v>
      </c>
      <c r="H150" s="621">
        <f>'1 квартал'!H150+'2 квартал'!H150</f>
        <v>695340.68045092002</v>
      </c>
      <c r="I150" s="621">
        <f>'1 квартал'!I150+'2 квартал'!I150</f>
        <v>1186070.2328108235</v>
      </c>
      <c r="J150" s="261">
        <f>SUM(K150:O150)</f>
        <v>2055938.9780872136</v>
      </c>
      <c r="K150" s="621">
        <f>'1 квартал'!K150+'2 квартал'!K150</f>
        <v>0</v>
      </c>
      <c r="L150" s="621">
        <f>'1 квартал'!L150+'2 квартал'!L150</f>
        <v>342785.26783995837</v>
      </c>
      <c r="M150" s="621">
        <f>'1 квартал'!M150+'2 квартал'!M150</f>
        <v>14087.284919165199</v>
      </c>
      <c r="N150" s="621">
        <f>'1 квартал'!N150+'2 квартал'!N150</f>
        <v>624627.285124182</v>
      </c>
      <c r="O150" s="621">
        <f>'1 квартал'!O150+'2 квартал'!O150</f>
        <v>1074439.1402039081</v>
      </c>
      <c r="Q150" s="24"/>
    </row>
    <row r="151" spans="1:19" ht="12.75" customHeight="1" thickTop="1" thickBot="1">
      <c r="A151" s="863" t="s">
        <v>111</v>
      </c>
      <c r="B151" s="220" t="s">
        <v>112</v>
      </c>
      <c r="C151" s="221" t="s">
        <v>113</v>
      </c>
      <c r="D151" s="222">
        <f>SUM(E151:I151)</f>
        <v>355580</v>
      </c>
      <c r="E151" s="222">
        <f>E44-E34-E46</f>
        <v>0</v>
      </c>
      <c r="F151" s="222">
        <f>F44-F34-F46</f>
        <v>55680</v>
      </c>
      <c r="G151" s="222">
        <f>G44-G34-G46</f>
        <v>25970</v>
      </c>
      <c r="H151" s="222">
        <f>H44-H34-H46</f>
        <v>108980</v>
      </c>
      <c r="I151" s="222">
        <f>I44-I34-I46</f>
        <v>164950</v>
      </c>
      <c r="J151" s="335">
        <f>SUM(K151:O151)</f>
        <v>394834.92400000023</v>
      </c>
      <c r="K151" s="222">
        <f>K44-K34-K46</f>
        <v>0</v>
      </c>
      <c r="L151" s="222">
        <f>L44-L34-L46</f>
        <v>54087.994400000141</v>
      </c>
      <c r="M151" s="222">
        <f>M44-M34-M46</f>
        <v>21914.64599999995</v>
      </c>
      <c r="N151" s="222">
        <f>N44-N34-N46</f>
        <v>101900.80060000002</v>
      </c>
      <c r="O151" s="222">
        <f>O44-O34-O46</f>
        <v>216931.48300000012</v>
      </c>
    </row>
    <row r="152" spans="1:19" ht="12.75" customHeight="1" thickTop="1" thickBot="1">
      <c r="A152" s="863"/>
      <c r="B152" s="234" t="s">
        <v>114</v>
      </c>
      <c r="C152" s="179" t="s">
        <v>115</v>
      </c>
      <c r="D152" s="346">
        <f t="shared" ref="D152:J152" si="24">IF(D44=0,0,D151/D44*100)</f>
        <v>17.626880025380963</v>
      </c>
      <c r="E152" s="346">
        <f t="shared" si="24"/>
        <v>0</v>
      </c>
      <c r="F152" s="346">
        <f t="shared" si="24"/>
        <v>3.6827588943786336</v>
      </c>
      <c r="G152" s="346">
        <f t="shared" si="24"/>
        <v>4.2385191133220399</v>
      </c>
      <c r="H152" s="346">
        <f t="shared" si="24"/>
        <v>7.3761226962307189</v>
      </c>
      <c r="I152" s="346">
        <f t="shared" si="24"/>
        <v>19.855074208264622</v>
      </c>
      <c r="J152" s="346">
        <f t="shared" si="24"/>
        <v>20.444591723617588</v>
      </c>
      <c r="K152" s="346">
        <f>IF(K44=0,0,K151/K44*100)</f>
        <v>0</v>
      </c>
      <c r="L152" s="346">
        <f t="shared" ref="L152:O152" si="25">IF(L44=0,0,L151/L44*100)</f>
        <v>3.593155369673219</v>
      </c>
      <c r="M152" s="346">
        <f t="shared" si="25"/>
        <v>4.0773976044488416</v>
      </c>
      <c r="N152" s="346">
        <f t="shared" si="25"/>
        <v>7.141698369599923</v>
      </c>
      <c r="O152" s="346">
        <f t="shared" si="25"/>
        <v>25.930404878002129</v>
      </c>
    </row>
    <row r="153" spans="1:19" ht="12.75" customHeight="1" thickTop="1" thickBot="1">
      <c r="A153" s="863"/>
      <c r="B153" s="234" t="s">
        <v>116</v>
      </c>
      <c r="C153" s="179" t="s">
        <v>117</v>
      </c>
      <c r="D153" s="346">
        <f t="shared" ref="D153:J153" si="26">IF(D45=0,0,D151/D45*100)</f>
        <v>17.626880025380963</v>
      </c>
      <c r="E153" s="346">
        <f t="shared" si="26"/>
        <v>0</v>
      </c>
      <c r="F153" s="346">
        <f t="shared" si="26"/>
        <v>3.6827588943786336</v>
      </c>
      <c r="G153" s="346">
        <f t="shared" si="26"/>
        <v>4.3596926022211102</v>
      </c>
      <c r="H153" s="346">
        <f t="shared" si="26"/>
        <v>8.046000263720984</v>
      </c>
      <c r="I153" s="346">
        <f t="shared" si="26"/>
        <v>20.019715080434469</v>
      </c>
      <c r="J153" s="346">
        <f t="shared" si="26"/>
        <v>20.444591723617588</v>
      </c>
      <c r="K153" s="346">
        <f>IF(K45=0,0,K151/K45*100)</f>
        <v>0</v>
      </c>
      <c r="L153" s="346">
        <f t="shared" ref="L153:O153" si="27">IF(L45=0,0,L151/L45*100)</f>
        <v>3.5931553696732186</v>
      </c>
      <c r="M153" s="346">
        <f t="shared" si="27"/>
        <v>4.1943773002971056</v>
      </c>
      <c r="N153" s="346">
        <f t="shared" si="27"/>
        <v>7.7540980802434873</v>
      </c>
      <c r="O153" s="346">
        <f t="shared" si="27"/>
        <v>26.170151768627591</v>
      </c>
    </row>
    <row r="154" spans="1:19" ht="12.75" customHeight="1" thickTop="1" thickBot="1">
      <c r="A154" s="863"/>
      <c r="B154" s="224" t="s">
        <v>118</v>
      </c>
      <c r="C154" s="225" t="s">
        <v>209</v>
      </c>
      <c r="D154" s="451">
        <f>SUM(E154:I154)</f>
        <v>24246.701272958322</v>
      </c>
      <c r="E154" s="442"/>
      <c r="F154" s="184">
        <f>'1 квартал'!F154+'2 квартал'!F154</f>
        <v>24246.701272958322</v>
      </c>
      <c r="G154" s="442"/>
      <c r="H154" s="442"/>
      <c r="I154" s="442"/>
      <c r="J154" s="451"/>
      <c r="K154" s="451"/>
      <c r="L154" s="449">
        <f>'1 квартал'!L154+'2 квартал'!L154</f>
        <v>21944.6224152</v>
      </c>
      <c r="M154" s="451">
        <v>0</v>
      </c>
      <c r="N154" s="451">
        <v>0</v>
      </c>
      <c r="O154" s="451">
        <v>0</v>
      </c>
    </row>
    <row r="155" spans="1:19" ht="12.75" customHeight="1" thickTop="1" thickBot="1">
      <c r="A155" s="863"/>
      <c r="B155" s="227" t="s">
        <v>120</v>
      </c>
      <c r="C155" s="186" t="s">
        <v>121</v>
      </c>
      <c r="D155" s="448">
        <f>SUM(E155:I155)</f>
        <v>355580</v>
      </c>
      <c r="E155" s="448">
        <f>E151</f>
        <v>0</v>
      </c>
      <c r="F155" s="448">
        <f>F151</f>
        <v>55680</v>
      </c>
      <c r="G155" s="448">
        <f>G151</f>
        <v>25970</v>
      </c>
      <c r="H155" s="448">
        <f>H151</f>
        <v>108980</v>
      </c>
      <c r="I155" s="448">
        <f>I151</f>
        <v>164950</v>
      </c>
      <c r="J155" s="450">
        <f>SUM(K155:O155)</f>
        <v>394834.92400000023</v>
      </c>
      <c r="K155" s="450">
        <f>K151</f>
        <v>0</v>
      </c>
      <c r="L155" s="450">
        <f>L151</f>
        <v>54087.994400000141</v>
      </c>
      <c r="M155" s="450">
        <f>M151</f>
        <v>21914.64599999995</v>
      </c>
      <c r="N155" s="450">
        <f>N151</f>
        <v>101900.80060000002</v>
      </c>
      <c r="O155" s="450">
        <f>O151</f>
        <v>216931.48300000012</v>
      </c>
    </row>
    <row r="156" spans="1:19" ht="12.75" customHeight="1" thickTop="1" thickBot="1">
      <c r="A156" s="863"/>
      <c r="B156" s="227" t="s">
        <v>122</v>
      </c>
      <c r="C156" s="186" t="s">
        <v>167</v>
      </c>
      <c r="D156" s="455">
        <f>D157/1.18/D155</f>
        <v>1.6038555442370768</v>
      </c>
      <c r="E156" s="341">
        <v>1.6038555442370765</v>
      </c>
      <c r="F156" s="341">
        <v>1.6038555442370765</v>
      </c>
      <c r="G156" s="341">
        <v>1.6038555442370765</v>
      </c>
      <c r="H156" s="341">
        <v>1.6038555442370765</v>
      </c>
      <c r="I156" s="341">
        <v>1.6038555442370765</v>
      </c>
      <c r="J156" s="455">
        <f>J157/1.18/J155</f>
        <v>1.4787219463645991</v>
      </c>
      <c r="K156" s="341">
        <v>1.4787219463645991</v>
      </c>
      <c r="L156" s="341">
        <v>1.4787219463645991</v>
      </c>
      <c r="M156" s="341">
        <v>1.4787219463645991</v>
      </c>
      <c r="N156" s="341">
        <v>1.4787219463645991</v>
      </c>
      <c r="O156" s="341">
        <v>1.4787219463645991</v>
      </c>
    </row>
    <row r="157" spans="1:19" ht="12.75" customHeight="1" thickTop="1" thickBot="1">
      <c r="A157" s="863"/>
      <c r="B157" s="227" t="s">
        <v>124</v>
      </c>
      <c r="C157" s="186" t="s">
        <v>168</v>
      </c>
      <c r="D157" s="448">
        <f>SUM(E157:I157)</f>
        <v>672952.76621538727</v>
      </c>
      <c r="E157" s="448">
        <f>E155*E156*1.18</f>
        <v>0</v>
      </c>
      <c r="F157" s="448">
        <f>F155*F156*1.18</f>
        <v>105377.15850968209</v>
      </c>
      <c r="G157" s="448">
        <f>G155*G156*1.18</f>
        <v>49149.511610927519</v>
      </c>
      <c r="H157" s="448">
        <f>H155*H156*1.18</f>
        <v>206250.0491089288</v>
      </c>
      <c r="I157" s="448">
        <f>I155*I156*1.18</f>
        <v>312176.04698584881</v>
      </c>
      <c r="J157" s="450">
        <f>SUM(K157:O157)</f>
        <v>688944.25942579866</v>
      </c>
      <c r="K157" s="450">
        <f>K155*K156*1.18</f>
        <v>0</v>
      </c>
      <c r="L157" s="450">
        <f>L155*L156*1.18</f>
        <v>94377.70313786836</v>
      </c>
      <c r="M157" s="450">
        <f>M155*M156*1.18</f>
        <v>38238.688224673097</v>
      </c>
      <c r="N157" s="450">
        <f>N155*N156*1.18</f>
        <v>177805.88123522466</v>
      </c>
      <c r="O157" s="450">
        <f>O155*O156*1.18</f>
        <v>378521.98682803253</v>
      </c>
    </row>
    <row r="158" spans="1:19" ht="12.75" customHeight="1" thickTop="1" thickBot="1">
      <c r="A158" s="863"/>
      <c r="B158" s="229" t="s">
        <v>126</v>
      </c>
      <c r="C158" s="225" t="s">
        <v>127</v>
      </c>
      <c r="D158" s="451">
        <f>SUM(E158:I158)</f>
        <v>335590</v>
      </c>
      <c r="E158" s="451">
        <v>0</v>
      </c>
      <c r="F158" s="449">
        <f>'1 квартал'!F158+'2 квартал'!F158</f>
        <v>55680</v>
      </c>
      <c r="G158" s="449">
        <f>'1 квартал'!G158+'2 квартал'!G158</f>
        <v>25970</v>
      </c>
      <c r="H158" s="449">
        <f>'1 квартал'!H158+'2 квартал'!H158</f>
        <v>108980</v>
      </c>
      <c r="I158" s="449">
        <f>'1 квартал'!I158+'2 квартал'!I158</f>
        <v>144960</v>
      </c>
      <c r="J158" s="451">
        <f>SUM(K158:O158)</f>
        <v>320944.02599999995</v>
      </c>
      <c r="K158" s="451">
        <v>0</v>
      </c>
      <c r="L158" s="449">
        <f>'1 квартал'!L158+'2 квартал'!L158</f>
        <v>54087.994400000025</v>
      </c>
      <c r="M158" s="449">
        <f>'1 квартал'!M158+'2 квартал'!M158</f>
        <v>21914.64599999999</v>
      </c>
      <c r="N158" s="449">
        <f>'1 квартал'!N158+'2 квартал'!N158</f>
        <v>101900.80059999991</v>
      </c>
      <c r="O158" s="449">
        <f>'1 квартал'!O158+'2 квартал'!O158</f>
        <v>143040.58499999999</v>
      </c>
    </row>
    <row r="159" spans="1:19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28">IF(D44=0,0,D158/D44*100)</f>
        <v>16.63593190763709</v>
      </c>
      <c r="E159" s="345">
        <f t="shared" si="28"/>
        <v>0</v>
      </c>
      <c r="F159" s="345">
        <f t="shared" si="28"/>
        <v>3.6827588943786336</v>
      </c>
      <c r="G159" s="345">
        <f t="shared" si="28"/>
        <v>4.2385191133220399</v>
      </c>
      <c r="H159" s="345">
        <f t="shared" si="28"/>
        <v>7.3761226962307189</v>
      </c>
      <c r="I159" s="345">
        <f t="shared" si="28"/>
        <v>17.448872732525249</v>
      </c>
      <c r="J159" s="345">
        <f t="shared" si="28"/>
        <v>16.618513659404918</v>
      </c>
      <c r="K159" s="345">
        <f>IF(K44=0,0,K158/K44*100)</f>
        <v>0</v>
      </c>
      <c r="L159" s="345">
        <f t="shared" si="28"/>
        <v>3.5931553696732115</v>
      </c>
      <c r="M159" s="345">
        <f t="shared" si="28"/>
        <v>4.0773976044488496</v>
      </c>
      <c r="N159" s="345">
        <f t="shared" si="28"/>
        <v>7.1416983695999168</v>
      </c>
      <c r="O159" s="345">
        <f t="shared" si="28"/>
        <v>17.098026675253383</v>
      </c>
      <c r="P159" s="25"/>
      <c r="Q159" s="25"/>
      <c r="R159" s="25"/>
      <c r="S159" s="25"/>
    </row>
    <row r="160" spans="1:19" ht="12.75" customHeight="1" thickTop="1" thickBot="1">
      <c r="A160" s="863"/>
      <c r="B160" s="230" t="s">
        <v>130</v>
      </c>
      <c r="C160" s="225" t="s">
        <v>131</v>
      </c>
      <c r="D160" s="345">
        <f t="shared" ref="D160:J160" si="29">IF(D45=0,0,D158/D45*100)</f>
        <v>16.63593190763709</v>
      </c>
      <c r="E160" s="345">
        <f t="shared" si="29"/>
        <v>0</v>
      </c>
      <c r="F160" s="345">
        <f t="shared" si="29"/>
        <v>3.6827588943786336</v>
      </c>
      <c r="G160" s="345">
        <f t="shared" si="29"/>
        <v>4.3596926022211102</v>
      </c>
      <c r="H160" s="345">
        <f t="shared" si="29"/>
        <v>8.046000263720984</v>
      </c>
      <c r="I160" s="345">
        <f t="shared" si="29"/>
        <v>17.593561067352415</v>
      </c>
      <c r="J160" s="345">
        <f t="shared" si="29"/>
        <v>16.618513659404918</v>
      </c>
      <c r="K160" s="345">
        <f>IF(K45=0,0,K158/K45*100)</f>
        <v>0</v>
      </c>
      <c r="L160" s="345">
        <f t="shared" ref="L160:O160" si="30">IF(L45=0,0,L158/L45*100)</f>
        <v>3.5931553696732106</v>
      </c>
      <c r="M160" s="345">
        <f t="shared" si="30"/>
        <v>4.1943773002971136</v>
      </c>
      <c r="N160" s="345">
        <f t="shared" si="30"/>
        <v>7.7540980802434811</v>
      </c>
      <c r="O160" s="345">
        <f t="shared" si="30"/>
        <v>17.256111315678751</v>
      </c>
      <c r="P160" s="25"/>
      <c r="Q160" s="25"/>
      <c r="R160" s="25"/>
      <c r="S160" s="25"/>
    </row>
    <row r="161" spans="1:15" ht="12.75" customHeight="1" thickTop="1" thickBot="1">
      <c r="A161" s="863"/>
      <c r="B161" s="231" t="s">
        <v>132</v>
      </c>
      <c r="C161" s="186" t="s">
        <v>133</v>
      </c>
      <c r="D161" s="450">
        <f>SUM(E161:I161)</f>
        <v>19990</v>
      </c>
      <c r="E161" s="251">
        <f>E151-E158</f>
        <v>0</v>
      </c>
      <c r="F161" s="450">
        <f>F151-F158</f>
        <v>0</v>
      </c>
      <c r="G161" s="450">
        <f>G151-G158</f>
        <v>0</v>
      </c>
      <c r="H161" s="450">
        <f>H151-H158</f>
        <v>0</v>
      </c>
      <c r="I161" s="450">
        <f>I151-I158</f>
        <v>19990</v>
      </c>
      <c r="J161" s="450">
        <f>SUM(K161:O161)</f>
        <v>73890.898000000205</v>
      </c>
      <c r="K161" s="450">
        <f>K151-K158</f>
        <v>0</v>
      </c>
      <c r="L161" s="450">
        <f>L151-L158</f>
        <v>1.1641532182693481E-10</v>
      </c>
      <c r="M161" s="450">
        <f>M151-M158</f>
        <v>-4.0017766878008842E-11</v>
      </c>
      <c r="N161" s="450">
        <f>N151-N158</f>
        <v>0</v>
      </c>
      <c r="O161" s="450">
        <f>O151-O158</f>
        <v>73890.898000000132</v>
      </c>
    </row>
    <row r="162" spans="1:15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0.99094811774387037</v>
      </c>
      <c r="E162" s="347">
        <f t="shared" ref="E162:I162" si="31">IF(E44=0,0,E161/E44*100)</f>
        <v>0</v>
      </c>
      <c r="F162" s="347">
        <f t="shared" si="31"/>
        <v>0</v>
      </c>
      <c r="G162" s="347">
        <f t="shared" si="31"/>
        <v>0</v>
      </c>
      <c r="H162" s="347">
        <f t="shared" si="31"/>
        <v>0</v>
      </c>
      <c r="I162" s="347">
        <f t="shared" si="31"/>
        <v>2.4062014757393744</v>
      </c>
      <c r="J162" s="347">
        <f>IF(J44=0,0,J161/J44*100)</f>
        <v>3.8260780642126653</v>
      </c>
      <c r="K162" s="347">
        <f>IF(K44=0,0,K161/K44*100)</f>
        <v>0</v>
      </c>
      <c r="L162" s="347">
        <f t="shared" ref="L162:O162" si="32">IF(L44=0,0,L161/L44*100)</f>
        <v>7.7336633272297056E-15</v>
      </c>
      <c r="M162" s="347">
        <f t="shared" si="32"/>
        <v>-7.4456300505053035E-15</v>
      </c>
      <c r="N162" s="347">
        <f t="shared" si="32"/>
        <v>0</v>
      </c>
      <c r="O162" s="347">
        <f t="shared" si="32"/>
        <v>8.8323782027487443</v>
      </c>
    </row>
    <row r="163" spans="1:15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0.99094811774387037</v>
      </c>
      <c r="E163" s="347">
        <f t="shared" ref="E163:O163" si="33">IF(E45=0,0,E161/E45*100)</f>
        <v>0</v>
      </c>
      <c r="F163" s="347">
        <f t="shared" si="33"/>
        <v>0</v>
      </c>
      <c r="G163" s="347">
        <f t="shared" si="33"/>
        <v>0</v>
      </c>
      <c r="H163" s="347">
        <f t="shared" si="33"/>
        <v>0</v>
      </c>
      <c r="I163" s="347">
        <f t="shared" si="33"/>
        <v>2.4261540130820554</v>
      </c>
      <c r="J163" s="347">
        <f t="shared" si="33"/>
        <v>3.8260780642126653</v>
      </c>
      <c r="K163" s="347">
        <f t="shared" si="33"/>
        <v>0</v>
      </c>
      <c r="L163" s="347">
        <f t="shared" si="33"/>
        <v>7.733663327229704E-15</v>
      </c>
      <c r="M163" s="347">
        <f t="shared" si="33"/>
        <v>-7.6592436401528934E-15</v>
      </c>
      <c r="N163" s="347">
        <f t="shared" si="33"/>
        <v>0</v>
      </c>
      <c r="O163" s="347">
        <f t="shared" si="33"/>
        <v>8.9140404529488375</v>
      </c>
    </row>
    <row r="164" spans="1:15">
      <c r="A164" s="94" t="s">
        <v>210</v>
      </c>
      <c r="J164" s="81"/>
      <c r="K164" s="81"/>
      <c r="L164" s="81"/>
      <c r="M164" s="81"/>
      <c r="N164" s="81"/>
      <c r="O164" s="82"/>
    </row>
    <row r="165" spans="1:15">
      <c r="J165" s="25"/>
      <c r="K165" s="82"/>
      <c r="L165" s="27"/>
      <c r="M165" s="27"/>
      <c r="N165" s="27"/>
      <c r="O165" s="27"/>
    </row>
    <row r="166" spans="1:15" ht="12.75" customHeight="1">
      <c r="B166" s="854" t="s">
        <v>138</v>
      </c>
      <c r="C166" s="855" t="s">
        <v>139</v>
      </c>
      <c r="D166" s="851" t="s">
        <v>140</v>
      </c>
      <c r="E166" s="851"/>
      <c r="F166" s="851"/>
      <c r="G166" s="851"/>
      <c r="H166" s="851"/>
      <c r="I166" s="851"/>
      <c r="J166" s="851" t="s">
        <v>140</v>
      </c>
      <c r="K166" s="851"/>
      <c r="L166" s="851"/>
      <c r="M166" s="851"/>
      <c r="N166" s="851"/>
      <c r="O166" s="851"/>
    </row>
    <row r="167" spans="1:15">
      <c r="B167" s="854"/>
      <c r="C167" s="855"/>
      <c r="D167" s="28" t="s">
        <v>141</v>
      </c>
      <c r="E167" s="29"/>
      <c r="F167" s="29" t="s">
        <v>5</v>
      </c>
      <c r="G167" s="30" t="s">
        <v>74</v>
      </c>
      <c r="H167" s="30" t="s">
        <v>76</v>
      </c>
      <c r="I167" s="31" t="s">
        <v>8</v>
      </c>
      <c r="J167" s="28" t="s">
        <v>141</v>
      </c>
      <c r="K167" s="29"/>
      <c r="L167" s="29" t="s">
        <v>5</v>
      </c>
      <c r="M167" s="30" t="s">
        <v>74</v>
      </c>
      <c r="N167" s="30" t="s">
        <v>76</v>
      </c>
      <c r="O167" s="31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>
        <f>D174+D175+D176</f>
        <v>2017260</v>
      </c>
      <c r="E169" s="35"/>
      <c r="F169" s="36">
        <f>F170+F174+F175+F176</f>
        <v>1511910</v>
      </c>
      <c r="G169" s="36">
        <f>G170+G174+G175+G176</f>
        <v>597354</v>
      </c>
      <c r="H169" s="36">
        <f>H170+H174+H175+H176</f>
        <v>1362650</v>
      </c>
      <c r="I169" s="37">
        <f>I170+I174+I175+I176</f>
        <v>830770</v>
      </c>
      <c r="J169" s="34">
        <f>J174+J175+J176</f>
        <v>1931243.8680000002</v>
      </c>
      <c r="K169" s="35"/>
      <c r="L169" s="36">
        <f>L170+L174+L175+L176</f>
        <v>1505306.3070000003</v>
      </c>
      <c r="M169" s="36">
        <f>M170+M174+M175+M176</f>
        <v>522476.74519999995</v>
      </c>
      <c r="N169" s="36">
        <f>N170+N174+N175+N176</f>
        <v>1320201.8876</v>
      </c>
      <c r="O169" s="37">
        <f>O170+O174+O175+O176</f>
        <v>836591.19100000011</v>
      </c>
    </row>
    <row r="170" spans="1:15" ht="12.75">
      <c r="B170" s="38" t="s">
        <v>12</v>
      </c>
      <c r="C170" s="39" t="s">
        <v>143</v>
      </c>
      <c r="D170" s="675">
        <f t="shared" ref="D170:D177" si="34">SUM(F170:I170)</f>
        <v>2285424</v>
      </c>
      <c r="E170" s="676"/>
      <c r="F170" s="676"/>
      <c r="G170" s="677">
        <f>SUM(G171:G173)</f>
        <v>290484</v>
      </c>
      <c r="H170" s="677">
        <f>SUM(H171:H173)</f>
        <v>1164050</v>
      </c>
      <c r="I170" s="678">
        <f>SUM(I171:I173)</f>
        <v>830890</v>
      </c>
      <c r="J170" s="675">
        <f t="shared" ref="J170:J177" si="35">SUM(L170:O170)</f>
        <v>2253332.2628000006</v>
      </c>
      <c r="K170" s="676"/>
      <c r="L170" s="676"/>
      <c r="M170" s="677">
        <f>SUM(M171:M173)</f>
        <v>282002.29219999997</v>
      </c>
      <c r="N170" s="677">
        <f>SUM(N171:N173)</f>
        <v>1134649.7736000002</v>
      </c>
      <c r="O170" s="678">
        <f>SUM(O171:O173)</f>
        <v>836680.19700000016</v>
      </c>
    </row>
    <row r="171" spans="1:15" ht="12.75">
      <c r="B171" s="40" t="s">
        <v>144</v>
      </c>
      <c r="C171" s="41" t="s">
        <v>145</v>
      </c>
      <c r="D171" s="42">
        <f t="shared" si="34"/>
        <v>909210</v>
      </c>
      <c r="E171" s="43"/>
      <c r="F171" s="44"/>
      <c r="G171" s="45">
        <f>G31-G49-G61-G73-G85-G97-G78-G109-G121-G54-G66-G90-G102-G114-G126</f>
        <v>290484</v>
      </c>
      <c r="H171" s="45">
        <f>H31-H49-H61-H73-H85-H97-H78-H54-H109-H66-H90-H102-H114-H121-H126</f>
        <v>618726</v>
      </c>
      <c r="I171" s="46"/>
      <c r="J171" s="42">
        <f t="shared" si="35"/>
        <v>929902.55660000001</v>
      </c>
      <c r="K171" s="43"/>
      <c r="L171" s="44"/>
      <c r="M171" s="45">
        <f>M31-M49-M61-M73-M85-M97-M78-M109-M121-M54-M66-M90-M102-M114-M126</f>
        <v>282002.29219999997</v>
      </c>
      <c r="N171" s="45">
        <f>N31-N49-N61-N73-N85-N97-N78-N54-N109-N66-N90-N102-N114-N121-N126</f>
        <v>647900.2644000001</v>
      </c>
      <c r="O171" s="46"/>
    </row>
    <row r="172" spans="1:15" ht="12.75">
      <c r="B172" s="47" t="s">
        <v>146</v>
      </c>
      <c r="C172" s="48" t="s">
        <v>6</v>
      </c>
      <c r="D172" s="42">
        <f t="shared" si="34"/>
        <v>545324</v>
      </c>
      <c r="E172" s="43"/>
      <c r="F172" s="44"/>
      <c r="G172" s="49"/>
      <c r="H172" s="45">
        <f>H32-H50-H62-H74-H86-H98-H110-H55-H67-H79-H91-H103-H115-H122-H127</f>
        <v>545324</v>
      </c>
      <c r="I172" s="50">
        <f>I32-I50-I55-I62-I67-I74-I79-I86-I91-I98-I103-I110-I115-I122-I127</f>
        <v>0</v>
      </c>
      <c r="J172" s="42">
        <f t="shared" si="35"/>
        <v>486749.50920000009</v>
      </c>
      <c r="K172" s="43"/>
      <c r="L172" s="44"/>
      <c r="M172" s="49"/>
      <c r="N172" s="45">
        <f>N32-N50-N62-N74-N86-N98-N110-N55-N67-N79-N91-N103-N115-N122-N127</f>
        <v>486749.50920000009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>
        <f t="shared" si="34"/>
        <v>830890</v>
      </c>
      <c r="E173" s="54"/>
      <c r="F173" s="55"/>
      <c r="G173" s="56"/>
      <c r="H173" s="56"/>
      <c r="I173" s="57">
        <f>I33-I51-I87-I75-I99-I111-I56-I63-I68-I80-I92-I104-I116-I123-I128</f>
        <v>830890</v>
      </c>
      <c r="J173" s="53">
        <f t="shared" si="35"/>
        <v>836680.19700000016</v>
      </c>
      <c r="K173" s="54"/>
      <c r="L173" s="55"/>
      <c r="M173" s="56"/>
      <c r="N173" s="56"/>
      <c r="O173" s="57">
        <f>O33-O51-O87-O75-O99-O111-O56-O63-O68-O80-O92-O104-O116-O123-O128</f>
        <v>836680.19700000016</v>
      </c>
    </row>
    <row r="174" spans="1:15" ht="12.75">
      <c r="B174" s="58" t="s">
        <v>14</v>
      </c>
      <c r="C174" s="39" t="s">
        <v>148</v>
      </c>
      <c r="D174" s="110">
        <f t="shared" si="34"/>
        <v>1225225</v>
      </c>
      <c r="E174" s="111"/>
      <c r="F174" s="111">
        <f>F28+E28</f>
        <v>996825</v>
      </c>
      <c r="G174" s="112">
        <f>G28</f>
        <v>209880</v>
      </c>
      <c r="H174" s="112">
        <f>H28</f>
        <v>18520</v>
      </c>
      <c r="I174" s="113">
        <f>I28</f>
        <v>0</v>
      </c>
      <c r="J174" s="110">
        <f t="shared" si="35"/>
        <v>1403031.0510000002</v>
      </c>
      <c r="K174" s="111"/>
      <c r="L174" s="111">
        <f>L28+K28</f>
        <v>1224839.4600000002</v>
      </c>
      <c r="M174" s="112">
        <f>M28</f>
        <v>161557.69499999998</v>
      </c>
      <c r="N174" s="112">
        <f>N28</f>
        <v>16633.896000000001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>
        <f t="shared" si="34"/>
        <v>781535</v>
      </c>
      <c r="E175" s="124"/>
      <c r="F175" s="125">
        <f>F23+F24+F25+E23+E24+E25</f>
        <v>515085</v>
      </c>
      <c r="G175" s="125">
        <f>G23+G24+G25</f>
        <v>86490</v>
      </c>
      <c r="H175" s="125">
        <f>H23+H24+H25</f>
        <v>180080</v>
      </c>
      <c r="I175" s="126">
        <f>I23+I24+I25</f>
        <v>-120</v>
      </c>
      <c r="J175" s="123">
        <f t="shared" si="35"/>
        <v>526437.01699999999</v>
      </c>
      <c r="K175" s="124"/>
      <c r="L175" s="125">
        <f>L23+L24+L25+K23+K24+K25</f>
        <v>280466.84700000007</v>
      </c>
      <c r="M175" s="125">
        <f>M23+M24+M25</f>
        <v>77140.957999999999</v>
      </c>
      <c r="N175" s="125">
        <f>N23+N24+N25</f>
        <v>168918.21799999999</v>
      </c>
      <c r="O175" s="126">
        <f>O23+O24+O25</f>
        <v>-89.006000000000014</v>
      </c>
    </row>
    <row r="176" spans="1:15" ht="12.75">
      <c r="B176" s="61" t="s">
        <v>20</v>
      </c>
      <c r="C176" s="62" t="s">
        <v>150</v>
      </c>
      <c r="D176" s="129">
        <f t="shared" si="34"/>
        <v>10500</v>
      </c>
      <c r="E176" s="130"/>
      <c r="F176" s="131">
        <f>F29+E29</f>
        <v>0</v>
      </c>
      <c r="G176" s="131">
        <f>G29</f>
        <v>10500</v>
      </c>
      <c r="H176" s="131">
        <f>H29</f>
        <v>0</v>
      </c>
      <c r="I176" s="132">
        <f>I29</f>
        <v>0</v>
      </c>
      <c r="J176" s="129">
        <f t="shared" si="35"/>
        <v>1775.7999999999993</v>
      </c>
      <c r="K176" s="130"/>
      <c r="L176" s="131">
        <f>L29+K29</f>
        <v>0</v>
      </c>
      <c r="M176" s="131">
        <f>M29</f>
        <v>1775.7999999999993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34"/>
        <v>355580</v>
      </c>
      <c r="E177" s="136"/>
      <c r="F177" s="136">
        <f>F169-F180-G171-H171</f>
        <v>55680</v>
      </c>
      <c r="G177" s="136">
        <f>G169-G180-H172-I172</f>
        <v>25970</v>
      </c>
      <c r="H177" s="136">
        <f>H169-H180-I173</f>
        <v>108980</v>
      </c>
      <c r="I177" s="137">
        <f>I169-I180</f>
        <v>164950</v>
      </c>
      <c r="J177" s="135">
        <f t="shared" si="35"/>
        <v>394834.924</v>
      </c>
      <c r="K177" s="136"/>
      <c r="L177" s="136">
        <f>L169-L180-M171-N171</f>
        <v>54087.994400000083</v>
      </c>
      <c r="M177" s="136">
        <f>M169-M180-N172-O172</f>
        <v>21914.645999999833</v>
      </c>
      <c r="N177" s="136">
        <f>N169-N180-O173</f>
        <v>101900.80059999996</v>
      </c>
      <c r="O177" s="137">
        <f>O169-O180</f>
        <v>216931.48300000012</v>
      </c>
    </row>
    <row r="178" spans="1:15" ht="12.75">
      <c r="B178" s="64"/>
      <c r="C178" s="65" t="s">
        <v>152</v>
      </c>
      <c r="D178" s="441">
        <f>IF(D169=0,0,D177/D169*100)</f>
        <v>17.626880025380963</v>
      </c>
      <c r="E178" s="140"/>
      <c r="F178" s="441">
        <f t="shared" ref="F178:I178" si="36">IF(F169=0,0,F177/F169*100)</f>
        <v>3.6827588943786336</v>
      </c>
      <c r="G178" s="441">
        <f t="shared" si="36"/>
        <v>4.3475058340615451</v>
      </c>
      <c r="H178" s="441">
        <f t="shared" si="36"/>
        <v>7.9976516346824207</v>
      </c>
      <c r="I178" s="441">
        <f t="shared" si="36"/>
        <v>19.855074208264622</v>
      </c>
      <c r="J178" s="441">
        <f>IF(J169=0,0,J177/J169*100)</f>
        <v>20.444591723617574</v>
      </c>
      <c r="K178" s="140"/>
      <c r="L178" s="441">
        <f t="shared" ref="L178:O178" si="37">IF(L169=0,0,L177/L169*100)</f>
        <v>3.593155369673215</v>
      </c>
      <c r="M178" s="441">
        <f t="shared" si="37"/>
        <v>4.1943773002970843</v>
      </c>
      <c r="N178" s="441">
        <f t="shared" si="37"/>
        <v>7.7185771022677301</v>
      </c>
      <c r="O178" s="441">
        <f t="shared" si="37"/>
        <v>25.930404878002129</v>
      </c>
    </row>
    <row r="179" spans="1:15" ht="26.25" thickBot="1">
      <c r="B179" s="66" t="s">
        <v>38</v>
      </c>
      <c r="C179" s="67" t="s">
        <v>153</v>
      </c>
      <c r="D179" s="143">
        <f t="shared" ref="D179:D184" si="38">SUM(F179:I179)</f>
        <v>0</v>
      </c>
      <c r="E179" s="144"/>
      <c r="F179" s="144"/>
      <c r="G179" s="145"/>
      <c r="H179" s="145"/>
      <c r="I179" s="146"/>
      <c r="J179" s="143">
        <f t="shared" ref="J179:J184" si="39">SUM(L179:O179)</f>
        <v>0</v>
      </c>
      <c r="K179" s="144"/>
      <c r="L179" s="144"/>
      <c r="M179" s="145"/>
      <c r="N179" s="145"/>
      <c r="O179" s="146"/>
    </row>
    <row r="180" spans="1:15" s="83" customFormat="1" ht="13.5" thickBot="1">
      <c r="B180" s="147" t="s">
        <v>52</v>
      </c>
      <c r="C180" s="148" t="s">
        <v>154</v>
      </c>
      <c r="D180" s="143">
        <f t="shared" si="38"/>
        <v>1661680</v>
      </c>
      <c r="E180" s="144"/>
      <c r="F180" s="682">
        <f>F143+E143</f>
        <v>547020</v>
      </c>
      <c r="G180" s="682">
        <f>G143+G194</f>
        <v>26060</v>
      </c>
      <c r="H180" s="682">
        <f>H143+H194</f>
        <v>422780.00000000006</v>
      </c>
      <c r="I180" s="683">
        <f>I143+I194</f>
        <v>665820</v>
      </c>
      <c r="J180" s="143">
        <f t="shared" si="39"/>
        <v>1536408.9439999999</v>
      </c>
      <c r="K180" s="144"/>
      <c r="L180" s="682">
        <f>L143+K143</f>
        <v>521315.75600000005</v>
      </c>
      <c r="M180" s="682">
        <f>M143+M194</f>
        <v>13812.59</v>
      </c>
      <c r="N180" s="682">
        <f>N143+N194</f>
        <v>381620.8899999999</v>
      </c>
      <c r="O180" s="683">
        <f>O143+O194</f>
        <v>619659.70799999998</v>
      </c>
    </row>
    <row r="181" spans="1:15" ht="12.75">
      <c r="B181" s="70" t="s">
        <v>54</v>
      </c>
      <c r="C181" s="71" t="s">
        <v>155</v>
      </c>
      <c r="D181" s="151">
        <f t="shared" si="38"/>
        <v>0</v>
      </c>
      <c r="E181" s="152"/>
      <c r="F181" s="152"/>
      <c r="G181" s="153"/>
      <c r="H181" s="153"/>
      <c r="I181" s="154"/>
      <c r="J181" s="151">
        <f t="shared" si="39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8"/>
        <v>0</v>
      </c>
      <c r="E182" s="158"/>
      <c r="F182" s="159"/>
      <c r="G182" s="159"/>
      <c r="H182" s="159"/>
      <c r="I182" s="160"/>
      <c r="J182" s="157">
        <f t="shared" si="39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8"/>
        <v>0</v>
      </c>
      <c r="E183" s="164"/>
      <c r="F183" s="164"/>
      <c r="G183" s="165"/>
      <c r="H183" s="165"/>
      <c r="I183" s="166"/>
      <c r="J183" s="163">
        <f t="shared" si="39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8"/>
        <v>0</v>
      </c>
      <c r="E184" s="111"/>
      <c r="F184" s="111"/>
      <c r="G184" s="112"/>
      <c r="H184" s="112"/>
      <c r="I184" s="113"/>
      <c r="J184" s="110">
        <f t="shared" si="39"/>
        <v>0</v>
      </c>
      <c r="K184" s="111"/>
      <c r="L184" s="111"/>
      <c r="M184" s="112"/>
      <c r="N184" s="112"/>
      <c r="O184" s="113"/>
    </row>
    <row r="185" spans="1:15" ht="12.75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6" spans="1:15">
      <c r="N186" s="321"/>
      <c r="O186" s="321"/>
    </row>
    <row r="188" spans="1:15" ht="12.75" customHeight="1">
      <c r="A188" s="832" t="s">
        <v>211</v>
      </c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579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349"/>
      <c r="E190" s="171"/>
      <c r="F190" s="171"/>
      <c r="G190" s="171"/>
      <c r="H190" s="171"/>
      <c r="I190" s="171"/>
      <c r="J190" s="239"/>
      <c r="K190" s="239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523"/>
      <c r="B194" s="524"/>
      <c r="C194" s="523" t="s">
        <v>193</v>
      </c>
      <c r="D194" s="523"/>
      <c r="E194" s="523"/>
      <c r="F194" s="523"/>
      <c r="G194" s="528">
        <f>'1 квартал'!G194+'2 квартал'!G194</f>
        <v>1669.8</v>
      </c>
      <c r="H194" s="528">
        <f>'1 квартал'!H194+'2 квартал'!H194</f>
        <v>8188.2</v>
      </c>
      <c r="I194" s="528">
        <f>'1 квартал'!I194+'2 квартал'!I194</f>
        <v>6832.2</v>
      </c>
      <c r="J194" s="523"/>
      <c r="K194" s="523"/>
      <c r="L194" s="523"/>
      <c r="M194" s="528">
        <f>'1 квартал'!M194+'2 квартал'!M194</f>
        <v>0</v>
      </c>
      <c r="N194" s="582">
        <f>'1 квартал'!N194+'2 квартал'!N194</f>
        <v>6047.7519999999995</v>
      </c>
      <c r="O194" s="582">
        <f>'1 квартал'!O194+'2 квартал'!O194</f>
        <v>7664.08</v>
      </c>
    </row>
    <row r="195" spans="1:15">
      <c r="A195" s="523"/>
      <c r="B195" s="524"/>
      <c r="C195" s="523" t="s">
        <v>196</v>
      </c>
      <c r="D195" s="523"/>
      <c r="E195" s="523"/>
      <c r="F195" s="528">
        <f>'1 квартал'!F195+'2 квартал'!F195</f>
        <v>70624.794307597083</v>
      </c>
      <c r="G195" s="523"/>
      <c r="H195" s="523"/>
      <c r="I195" s="523"/>
      <c r="J195" s="523"/>
      <c r="K195" s="523"/>
      <c r="L195" s="528">
        <f>'1 квартал'!L195+'2 квартал'!L195</f>
        <v>61733.84895</v>
      </c>
      <c r="M195" s="523"/>
      <c r="N195" s="523"/>
      <c r="O195" s="523"/>
    </row>
    <row r="198" spans="1:15">
      <c r="F198" s="24"/>
      <c r="G198" s="24"/>
      <c r="H198" s="24"/>
      <c r="I198" s="24"/>
      <c r="L198" s="24"/>
      <c r="M198" s="24"/>
      <c r="N198" s="24"/>
      <c r="O198" s="24"/>
    </row>
    <row r="199" spans="1:15">
      <c r="N199" s="24"/>
      <c r="O199" s="24"/>
    </row>
  </sheetData>
  <mergeCells count="25">
    <mergeCell ref="A188:O188"/>
    <mergeCell ref="D166:I166"/>
    <mergeCell ref="J166:O166"/>
    <mergeCell ref="A46:A150"/>
    <mergeCell ref="A151:A163"/>
    <mergeCell ref="B166:B167"/>
    <mergeCell ref="C166:C167"/>
    <mergeCell ref="A6:A29"/>
    <mergeCell ref="A30:A43"/>
    <mergeCell ref="I4:I5"/>
    <mergeCell ref="J4:J5"/>
    <mergeCell ref="K4:L4"/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</mergeCells>
  <phoneticPr fontId="0" type="noConversion"/>
  <pageMargins left="0.86614173228346458" right="0.27559055118110237" top="0.74803149606299213" bottom="0.55118110236220474" header="0.51181102362204722" footer="0.51181102362204722"/>
  <pageSetup paperSize="9" scale="63" firstPageNumber="0" orientation="landscape" horizontalDpi="300" verticalDpi="300" r:id="rId1"/>
  <headerFooter alignWithMargins="0"/>
  <rowBreaks count="2" manualBreakCount="2">
    <brk id="58" max="14" man="1"/>
    <brk id="118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1"/>
  <sheetViews>
    <sheetView view="pageBreakPreview" zoomScale="90" zoomScaleSheetLayoutView="90" workbookViewId="0">
      <pane xSplit="3" ySplit="5" topLeftCell="E128" activePane="bottomRight" state="frozen"/>
      <selection pane="topRight" activeCell="D1" sqref="D1"/>
      <selection pane="bottomLeft" activeCell="A63" sqref="A63"/>
      <selection pane="bottomRight" activeCell="L151" activeCellId="2" sqref="L44:O44 L46:O46 L151:O151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.5703125" style="1" customWidth="1"/>
    <col min="6" max="6" width="11.85546875" style="1" customWidth="1"/>
    <col min="7" max="7" width="11.140625" style="1" customWidth="1"/>
    <col min="8" max="8" width="10.5703125" style="1" customWidth="1"/>
    <col min="9" max="10" width="11.85546875" style="1" customWidth="1"/>
    <col min="11" max="11" width="11.140625" style="1" customWidth="1"/>
    <col min="12" max="12" width="11.28515625" style="1" customWidth="1"/>
    <col min="13" max="14" width="10.28515625" style="1" customWidth="1"/>
    <col min="15" max="15" width="11.5703125" style="1" customWidth="1"/>
    <col min="16" max="16" width="12" style="1" customWidth="1"/>
    <col min="17" max="17" width="12.140625" style="1" customWidth="1"/>
    <col min="18" max="18" width="9.85546875" style="1" bestFit="1" customWidth="1"/>
    <col min="19" max="16384" width="9.140625" style="1"/>
  </cols>
  <sheetData>
    <row r="1" spans="1:15" ht="15.75">
      <c r="A1" s="817" t="s">
        <v>224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" customHeight="1" thickBot="1">
      <c r="A3" s="856"/>
      <c r="B3" s="857" t="s">
        <v>0</v>
      </c>
      <c r="C3" s="858" t="s">
        <v>1</v>
      </c>
      <c r="D3" s="824" t="s">
        <v>2</v>
      </c>
      <c r="E3" s="825"/>
      <c r="F3" s="825"/>
      <c r="G3" s="825"/>
      <c r="H3" s="825"/>
      <c r="I3" s="826"/>
      <c r="J3" s="827" t="s">
        <v>3</v>
      </c>
      <c r="K3" s="828"/>
      <c r="L3" s="828"/>
      <c r="M3" s="828"/>
      <c r="N3" s="828"/>
      <c r="O3" s="829"/>
    </row>
    <row r="4" spans="1:15" s="3" customFormat="1" ht="12.75" customHeight="1" thickTop="1" thickBot="1">
      <c r="A4" s="856"/>
      <c r="B4" s="857"/>
      <c r="C4" s="858"/>
      <c r="D4" s="830" t="s">
        <v>4</v>
      </c>
      <c r="E4" s="835" t="s">
        <v>5</v>
      </c>
      <c r="F4" s="835"/>
      <c r="G4" s="835" t="s">
        <v>6</v>
      </c>
      <c r="H4" s="835" t="s">
        <v>7</v>
      </c>
      <c r="I4" s="820" t="s">
        <v>8</v>
      </c>
      <c r="J4" s="831" t="s">
        <v>4</v>
      </c>
      <c r="K4" s="833" t="s">
        <v>5</v>
      </c>
      <c r="L4" s="834"/>
      <c r="M4" s="818" t="s">
        <v>6</v>
      </c>
      <c r="N4" s="818" t="s">
        <v>7</v>
      </c>
      <c r="O4" s="820" t="s">
        <v>8</v>
      </c>
    </row>
    <row r="5" spans="1:15" s="6" customFormat="1" ht="13.5" thickTop="1" thickBot="1">
      <c r="A5" s="856"/>
      <c r="B5" s="857"/>
      <c r="C5" s="858"/>
      <c r="D5" s="831"/>
      <c r="E5" s="86">
        <v>220</v>
      </c>
      <c r="F5" s="86">
        <v>110</v>
      </c>
      <c r="G5" s="818"/>
      <c r="H5" s="818"/>
      <c r="I5" s="846"/>
      <c r="J5" s="845"/>
      <c r="K5" s="87">
        <v>220</v>
      </c>
      <c r="L5" s="242">
        <v>110</v>
      </c>
      <c r="M5" s="819"/>
      <c r="N5" s="819"/>
      <c r="O5" s="821"/>
    </row>
    <row r="6" spans="1:15" ht="13.5" thickTop="1" thickBot="1">
      <c r="A6" s="862" t="s">
        <v>9</v>
      </c>
      <c r="B6" s="179" t="s">
        <v>10</v>
      </c>
      <c r="C6" s="179" t="s">
        <v>11</v>
      </c>
      <c r="D6" s="352">
        <f t="shared" ref="D6:I6" si="0">SUM(D7:D9,D12,D14)</f>
        <v>425280</v>
      </c>
      <c r="E6" s="353">
        <f t="shared" si="0"/>
        <v>0</v>
      </c>
      <c r="F6" s="353">
        <f t="shared" si="0"/>
        <v>347810</v>
      </c>
      <c r="G6" s="353">
        <f t="shared" si="0"/>
        <v>49960</v>
      </c>
      <c r="H6" s="353">
        <f t="shared" si="0"/>
        <v>27500</v>
      </c>
      <c r="I6" s="353">
        <f t="shared" si="0"/>
        <v>10</v>
      </c>
      <c r="J6" s="244">
        <f t="shared" ref="J6:O6" si="1">SUM(J7:J9,J12,J14)</f>
        <v>446084.94499999995</v>
      </c>
      <c r="K6" s="245">
        <f t="shared" si="1"/>
        <v>0</v>
      </c>
      <c r="L6" s="245">
        <f t="shared" si="1"/>
        <v>377467.22</v>
      </c>
      <c r="M6" s="245">
        <f t="shared" si="1"/>
        <v>42788.148000000001</v>
      </c>
      <c r="N6" s="245">
        <f t="shared" si="1"/>
        <v>25821.588</v>
      </c>
      <c r="O6" s="245">
        <f t="shared" si="1"/>
        <v>7.9889999999999999</v>
      </c>
    </row>
    <row r="7" spans="1:15" ht="13.5" thickTop="1" thickBot="1">
      <c r="A7" s="862"/>
      <c r="B7" s="182" t="s">
        <v>12</v>
      </c>
      <c r="C7" s="182" t="s">
        <v>13</v>
      </c>
      <c r="D7" s="354">
        <f>SUM(E7:I7)</f>
        <v>0</v>
      </c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247">
        <f>SUM(K7:O7)</f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</row>
    <row r="8" spans="1:15" ht="13.5" thickTop="1" thickBot="1">
      <c r="A8" s="862"/>
      <c r="B8" s="182" t="s">
        <v>14</v>
      </c>
      <c r="C8" s="182" t="s">
        <v>15</v>
      </c>
      <c r="D8" s="354">
        <f>SUM(E8:I8)</f>
        <v>237640</v>
      </c>
      <c r="E8" s="356"/>
      <c r="F8" s="356">
        <v>199960</v>
      </c>
      <c r="G8" s="356">
        <v>13590</v>
      </c>
      <c r="H8" s="356">
        <v>24080</v>
      </c>
      <c r="I8" s="356">
        <v>10</v>
      </c>
      <c r="J8" s="247">
        <f>SUM(K8:O8)</f>
        <v>181313.56699999998</v>
      </c>
      <c r="K8" s="333"/>
      <c r="L8" s="333">
        <v>145103.266</v>
      </c>
      <c r="M8" s="333">
        <v>13342.353999999999</v>
      </c>
      <c r="N8" s="333">
        <v>22859.957999999999</v>
      </c>
      <c r="O8" s="333">
        <v>7.9889999999999999</v>
      </c>
    </row>
    <row r="9" spans="1:15" ht="13.5" thickTop="1" thickBot="1">
      <c r="A9" s="862"/>
      <c r="B9" s="182" t="s">
        <v>16</v>
      </c>
      <c r="C9" s="182" t="s">
        <v>17</v>
      </c>
      <c r="D9" s="354">
        <f t="shared" ref="D9:I9" si="2">SUM(D10:D11)</f>
        <v>9010</v>
      </c>
      <c r="E9" s="355">
        <f t="shared" si="2"/>
        <v>0</v>
      </c>
      <c r="F9" s="355">
        <f t="shared" si="2"/>
        <v>9010</v>
      </c>
      <c r="G9" s="355">
        <f t="shared" si="2"/>
        <v>0</v>
      </c>
      <c r="H9" s="355">
        <f t="shared" si="2"/>
        <v>0</v>
      </c>
      <c r="I9" s="355">
        <f t="shared" si="2"/>
        <v>0</v>
      </c>
      <c r="J9" s="247">
        <f t="shared" ref="J9:O9" si="3">SUM(J10:J11)</f>
        <v>4820.665</v>
      </c>
      <c r="K9" s="248">
        <f t="shared" si="3"/>
        <v>0</v>
      </c>
      <c r="L9" s="248">
        <f t="shared" si="3"/>
        <v>4820.665</v>
      </c>
      <c r="M9" s="248">
        <f t="shared" si="3"/>
        <v>0</v>
      </c>
      <c r="N9" s="248">
        <f t="shared" si="3"/>
        <v>0</v>
      </c>
      <c r="O9" s="248">
        <f t="shared" si="3"/>
        <v>0</v>
      </c>
    </row>
    <row r="10" spans="1:15" ht="13.5" thickTop="1" thickBot="1">
      <c r="A10" s="862"/>
      <c r="B10" s="186" t="s">
        <v>18</v>
      </c>
      <c r="C10" s="187" t="s">
        <v>192</v>
      </c>
      <c r="D10" s="357">
        <f>SUM(F10:I10)</f>
        <v>6780</v>
      </c>
      <c r="E10" s="358"/>
      <c r="F10" s="360">
        <v>6780</v>
      </c>
      <c r="G10" s="358"/>
      <c r="H10" s="358"/>
      <c r="I10" s="358"/>
      <c r="J10" s="251">
        <f>SUM(L10:O10)</f>
        <v>3841.489</v>
      </c>
      <c r="K10" s="252"/>
      <c r="L10" s="289">
        <v>3841.489</v>
      </c>
      <c r="M10" s="252"/>
      <c r="N10" s="252"/>
      <c r="O10" s="252"/>
    </row>
    <row r="11" spans="1:15" ht="13.5" thickTop="1" thickBot="1">
      <c r="A11" s="862"/>
      <c r="B11" s="186" t="s">
        <v>19</v>
      </c>
      <c r="C11" s="187" t="s">
        <v>191</v>
      </c>
      <c r="D11" s="357">
        <f>SUM(F11:I11)</f>
        <v>2230</v>
      </c>
      <c r="E11" s="358"/>
      <c r="F11" s="360">
        <v>2230</v>
      </c>
      <c r="G11" s="358"/>
      <c r="H11" s="358"/>
      <c r="I11" s="358"/>
      <c r="J11" s="251">
        <f>SUM(L11:O11)</f>
        <v>979.17600000000004</v>
      </c>
      <c r="K11" s="252"/>
      <c r="L11" s="289">
        <v>979.17600000000004</v>
      </c>
      <c r="M11" s="252"/>
      <c r="N11" s="252"/>
      <c r="O11" s="252"/>
    </row>
    <row r="12" spans="1:15" ht="13.5" thickTop="1" thickBot="1">
      <c r="A12" s="862"/>
      <c r="B12" s="182" t="s">
        <v>20</v>
      </c>
      <c r="C12" s="182" t="s">
        <v>21</v>
      </c>
      <c r="D12" s="354">
        <f>SUM(E12:I12)</f>
        <v>178630</v>
      </c>
      <c r="E12" s="355"/>
      <c r="F12" s="356">
        <v>138840</v>
      </c>
      <c r="G12" s="356">
        <v>36370</v>
      </c>
      <c r="H12" s="356">
        <v>3420</v>
      </c>
      <c r="I12" s="355"/>
      <c r="J12" s="247">
        <f>SUM(K12:O12)</f>
        <v>259950.71299999999</v>
      </c>
      <c r="K12" s="248"/>
      <c r="L12" s="333">
        <v>227543.28899999999</v>
      </c>
      <c r="M12" s="333">
        <v>29445.794000000002</v>
      </c>
      <c r="N12" s="333">
        <v>2961.63</v>
      </c>
      <c r="O12" s="248"/>
    </row>
    <row r="13" spans="1:15" ht="13.5" thickTop="1" thickBot="1">
      <c r="A13" s="862"/>
      <c r="B13" s="186" t="s">
        <v>22</v>
      </c>
      <c r="C13" s="187" t="s">
        <v>23</v>
      </c>
      <c r="D13" s="354">
        <f>SUM(E13:I13)</f>
        <v>0</v>
      </c>
      <c r="E13" s="355"/>
      <c r="F13" s="358"/>
      <c r="G13" s="358"/>
      <c r="H13" s="358"/>
      <c r="I13" s="358"/>
      <c r="J13" s="247">
        <f>SUM(K13:O13)</f>
        <v>0</v>
      </c>
      <c r="K13" s="248"/>
      <c r="L13" s="252"/>
      <c r="M13" s="252"/>
      <c r="N13" s="358"/>
      <c r="O13" s="252"/>
    </row>
    <row r="14" spans="1:15" ht="13.5" thickTop="1" thickBot="1">
      <c r="A14" s="862"/>
      <c r="B14" s="182" t="s">
        <v>24</v>
      </c>
      <c r="C14" s="182" t="s">
        <v>25</v>
      </c>
      <c r="D14" s="354">
        <f>SUM(E14:I14)</f>
        <v>0</v>
      </c>
      <c r="E14" s="355"/>
      <c r="F14" s="355"/>
      <c r="G14" s="356">
        <v>0</v>
      </c>
      <c r="H14" s="355"/>
      <c r="I14" s="355"/>
      <c r="J14" s="247">
        <f>SUM(K14:O14)</f>
        <v>0</v>
      </c>
      <c r="K14" s="248"/>
      <c r="L14" s="248"/>
      <c r="M14" s="333">
        <v>0</v>
      </c>
      <c r="N14" s="248"/>
      <c r="O14" s="248"/>
    </row>
    <row r="15" spans="1:15" ht="13.5" thickTop="1" thickBot="1">
      <c r="A15" s="862"/>
      <c r="B15" s="179" t="s">
        <v>26</v>
      </c>
      <c r="C15" s="179" t="s">
        <v>27</v>
      </c>
      <c r="D15" s="352">
        <f t="shared" ref="D15:I15" si="4">SUM(D16:D18,D21)</f>
        <v>72780</v>
      </c>
      <c r="E15" s="359">
        <f t="shared" si="4"/>
        <v>0</v>
      </c>
      <c r="F15" s="359">
        <f t="shared" si="4"/>
        <v>72460</v>
      </c>
      <c r="G15" s="359">
        <f t="shared" si="4"/>
        <v>300</v>
      </c>
      <c r="H15" s="359">
        <f t="shared" si="4"/>
        <v>10</v>
      </c>
      <c r="I15" s="359">
        <f t="shared" si="4"/>
        <v>10</v>
      </c>
      <c r="J15" s="244">
        <f t="shared" ref="J15:O15" si="5">SUM(J16:J18,J21)</f>
        <v>130593.70299999999</v>
      </c>
      <c r="K15" s="253">
        <f t="shared" si="5"/>
        <v>0</v>
      </c>
      <c r="L15" s="253">
        <f t="shared" si="5"/>
        <v>130122.777</v>
      </c>
      <c r="M15" s="253">
        <f t="shared" si="5"/>
        <v>457.92999999999995</v>
      </c>
      <c r="N15" s="253">
        <f t="shared" si="5"/>
        <v>6.1150000000000002</v>
      </c>
      <c r="O15" s="253">
        <f t="shared" si="5"/>
        <v>6.8810000000000002</v>
      </c>
    </row>
    <row r="16" spans="1:15" ht="13.5" thickTop="1" thickBot="1">
      <c r="A16" s="862"/>
      <c r="B16" s="182" t="s">
        <v>28</v>
      </c>
      <c r="C16" s="182" t="s">
        <v>29</v>
      </c>
      <c r="D16" s="354">
        <f>SUM(E16:I16)</f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247">
        <f>SUM(K16:O16)</f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</row>
    <row r="17" spans="1:15" ht="13.5" thickTop="1" thickBot="1">
      <c r="A17" s="862"/>
      <c r="B17" s="182" t="s">
        <v>30</v>
      </c>
      <c r="C17" s="182" t="s">
        <v>31</v>
      </c>
      <c r="D17" s="354">
        <f>SUM(E17:I17)</f>
        <v>65960</v>
      </c>
      <c r="E17" s="356"/>
      <c r="F17" s="356">
        <v>65940</v>
      </c>
      <c r="G17" s="356">
        <v>0</v>
      </c>
      <c r="H17" s="356">
        <v>10</v>
      </c>
      <c r="I17" s="356">
        <v>10</v>
      </c>
      <c r="J17" s="247">
        <f>SUM(K17:O17)</f>
        <v>115546.17099999999</v>
      </c>
      <c r="K17" s="333"/>
      <c r="L17" s="333">
        <v>115533.15399999999</v>
      </c>
      <c r="M17" s="333">
        <v>2.1000000000000001E-2</v>
      </c>
      <c r="N17" s="333">
        <v>6.1150000000000002</v>
      </c>
      <c r="O17" s="333">
        <v>6.8810000000000002</v>
      </c>
    </row>
    <row r="18" spans="1:15" ht="13.5" thickTop="1" thickBot="1">
      <c r="A18" s="862"/>
      <c r="B18" s="182" t="s">
        <v>32</v>
      </c>
      <c r="C18" s="182" t="s">
        <v>33</v>
      </c>
      <c r="D18" s="354">
        <f t="shared" ref="D18:I18" si="6">SUM(D19:D20)</f>
        <v>5310</v>
      </c>
      <c r="E18" s="355">
        <f t="shared" si="6"/>
        <v>0</v>
      </c>
      <c r="F18" s="355">
        <f t="shared" si="6"/>
        <v>5060</v>
      </c>
      <c r="G18" s="355">
        <f t="shared" si="6"/>
        <v>250</v>
      </c>
      <c r="H18" s="355">
        <f t="shared" si="6"/>
        <v>0</v>
      </c>
      <c r="I18" s="355">
        <f t="shared" si="6"/>
        <v>0</v>
      </c>
      <c r="J18" s="247">
        <f t="shared" ref="J18:M18" si="7">SUM(J19:J20)</f>
        <v>6791.8980000000001</v>
      </c>
      <c r="K18" s="248">
        <f t="shared" si="7"/>
        <v>0</v>
      </c>
      <c r="L18" s="248">
        <f t="shared" si="7"/>
        <v>6546.3029999999999</v>
      </c>
      <c r="M18" s="248">
        <f t="shared" si="7"/>
        <v>245.595</v>
      </c>
      <c r="N18" s="248"/>
      <c r="O18" s="248"/>
    </row>
    <row r="19" spans="1:15" ht="13.5" thickTop="1" thickBot="1">
      <c r="A19" s="862"/>
      <c r="B19" s="186" t="s">
        <v>34</v>
      </c>
      <c r="C19" s="187" t="s">
        <v>192</v>
      </c>
      <c r="D19" s="357">
        <f t="shared" ref="D19:D29" si="8">SUM(E19:I19)</f>
        <v>280</v>
      </c>
      <c r="E19" s="358"/>
      <c r="F19" s="360">
        <v>280</v>
      </c>
      <c r="G19" s="358"/>
      <c r="H19" s="358"/>
      <c r="I19" s="358"/>
      <c r="J19" s="251">
        <f t="shared" ref="J19:J29" si="9">SUM(K19:O19)</f>
        <v>4445.7870000000003</v>
      </c>
      <c r="K19" s="252"/>
      <c r="L19" s="289">
        <v>4445.7870000000003</v>
      </c>
      <c r="M19" s="252"/>
      <c r="N19" s="252"/>
      <c r="O19" s="252"/>
    </row>
    <row r="20" spans="1:15" ht="13.5" thickTop="1" thickBot="1">
      <c r="A20" s="862"/>
      <c r="B20" s="190" t="s">
        <v>35</v>
      </c>
      <c r="C20" s="187" t="s">
        <v>191</v>
      </c>
      <c r="D20" s="357">
        <f t="shared" si="8"/>
        <v>5030</v>
      </c>
      <c r="E20" s="358"/>
      <c r="F20" s="360">
        <v>4780</v>
      </c>
      <c r="G20" s="360">
        <v>250</v>
      </c>
      <c r="H20" s="358"/>
      <c r="I20" s="358"/>
      <c r="J20" s="251">
        <f t="shared" si="9"/>
        <v>2346.1109999999999</v>
      </c>
      <c r="K20" s="252"/>
      <c r="L20" s="289">
        <v>2100.5160000000001</v>
      </c>
      <c r="M20" s="289">
        <v>245.595</v>
      </c>
      <c r="N20" s="252"/>
      <c r="O20" s="252"/>
    </row>
    <row r="21" spans="1:15" ht="13.5" thickTop="1" thickBot="1">
      <c r="A21" s="862"/>
      <c r="B21" s="182" t="s">
        <v>36</v>
      </c>
      <c r="C21" s="182" t="s">
        <v>37</v>
      </c>
      <c r="D21" s="354">
        <f t="shared" si="8"/>
        <v>1510</v>
      </c>
      <c r="E21" s="355"/>
      <c r="F21" s="356">
        <v>1460</v>
      </c>
      <c r="G21" s="356">
        <v>50</v>
      </c>
      <c r="H21" s="355"/>
      <c r="I21" s="355"/>
      <c r="J21" s="247">
        <f t="shared" si="9"/>
        <v>8255.634</v>
      </c>
      <c r="K21" s="248"/>
      <c r="L21" s="333">
        <v>8043.32</v>
      </c>
      <c r="M21" s="333">
        <v>212.31399999999999</v>
      </c>
      <c r="N21" s="248"/>
      <c r="O21" s="248"/>
    </row>
    <row r="22" spans="1:15" s="17" customFormat="1" ht="13.5" thickTop="1" thickBot="1">
      <c r="A22" s="862"/>
      <c r="B22" s="232" t="s">
        <v>38</v>
      </c>
      <c r="C22" s="232" t="s">
        <v>39</v>
      </c>
      <c r="D22" s="361">
        <f t="shared" si="8"/>
        <v>352500</v>
      </c>
      <c r="E22" s="361">
        <f>SUM(E23:E25,E28,E29)</f>
        <v>0</v>
      </c>
      <c r="F22" s="361">
        <f>SUM(F23:F25,F28,F29)</f>
        <v>275350</v>
      </c>
      <c r="G22" s="361">
        <f>SUM(G23:G25,G28,G29)</f>
        <v>49660</v>
      </c>
      <c r="H22" s="361">
        <f>SUM(H23:H25,H28,H29)</f>
        <v>27490</v>
      </c>
      <c r="I22" s="361">
        <f>SUM(I23:I25,I28,I29)</f>
        <v>0</v>
      </c>
      <c r="J22" s="256">
        <f t="shared" si="9"/>
        <v>315491.24200000003</v>
      </c>
      <c r="K22" s="256">
        <f>SUM(K23:K25,K28,K29)</f>
        <v>0</v>
      </c>
      <c r="L22" s="256">
        <f>SUM(L23:L25,L28,L29)</f>
        <v>247344.443</v>
      </c>
      <c r="M22" s="256">
        <f>SUM(M23:M25,M28,M29)</f>
        <v>42330.218000000001</v>
      </c>
      <c r="N22" s="256">
        <f>SUM(N23:N25,N28,N29)</f>
        <v>25815.472999999998</v>
      </c>
      <c r="O22" s="256">
        <f>SUM(O23:O25,O28,O29)</f>
        <v>1.1079999999999997</v>
      </c>
    </row>
    <row r="23" spans="1:15" ht="13.5" thickTop="1" thickBot="1">
      <c r="A23" s="862"/>
      <c r="B23" s="182" t="s">
        <v>40</v>
      </c>
      <c r="C23" s="182" t="s">
        <v>41</v>
      </c>
      <c r="D23" s="354">
        <f t="shared" si="8"/>
        <v>0</v>
      </c>
      <c r="E23" s="354">
        <f t="shared" ref="E23:I28" si="10">E7-E16</f>
        <v>0</v>
      </c>
      <c r="F23" s="354">
        <f t="shared" si="10"/>
        <v>0</v>
      </c>
      <c r="G23" s="354">
        <f t="shared" si="10"/>
        <v>0</v>
      </c>
      <c r="H23" s="354">
        <f t="shared" si="10"/>
        <v>0</v>
      </c>
      <c r="I23" s="354">
        <f t="shared" si="10"/>
        <v>0</v>
      </c>
      <c r="J23" s="247">
        <f t="shared" si="9"/>
        <v>0</v>
      </c>
      <c r="K23" s="247">
        <f t="shared" ref="K23:O28" si="11">K7-K16</f>
        <v>0</v>
      </c>
      <c r="L23" s="247">
        <f t="shared" si="11"/>
        <v>0</v>
      </c>
      <c r="M23" s="247">
        <f t="shared" si="11"/>
        <v>0</v>
      </c>
      <c r="N23" s="247">
        <f t="shared" si="11"/>
        <v>0</v>
      </c>
      <c r="O23" s="247">
        <f t="shared" si="11"/>
        <v>0</v>
      </c>
    </row>
    <row r="24" spans="1:15" ht="13.5" thickTop="1" thickBot="1">
      <c r="A24" s="862"/>
      <c r="B24" s="182" t="s">
        <v>42</v>
      </c>
      <c r="C24" s="182" t="s">
        <v>43</v>
      </c>
      <c r="D24" s="354">
        <f t="shared" si="8"/>
        <v>171680</v>
      </c>
      <c r="E24" s="354">
        <f t="shared" si="10"/>
        <v>0</v>
      </c>
      <c r="F24" s="354">
        <f t="shared" si="10"/>
        <v>134020</v>
      </c>
      <c r="G24" s="354">
        <f t="shared" si="10"/>
        <v>13590</v>
      </c>
      <c r="H24" s="354">
        <f t="shared" si="10"/>
        <v>24070</v>
      </c>
      <c r="I24" s="354">
        <f t="shared" si="10"/>
        <v>0</v>
      </c>
      <c r="J24" s="247">
        <f t="shared" si="9"/>
        <v>65767.395999999993</v>
      </c>
      <c r="K24" s="247">
        <f t="shared" si="11"/>
        <v>0</v>
      </c>
      <c r="L24" s="247">
        <f t="shared" si="11"/>
        <v>29570.112000000008</v>
      </c>
      <c r="M24" s="247">
        <f t="shared" si="11"/>
        <v>13342.332999999999</v>
      </c>
      <c r="N24" s="247">
        <f t="shared" si="11"/>
        <v>22853.842999999997</v>
      </c>
      <c r="O24" s="247">
        <f t="shared" si="11"/>
        <v>1.1079999999999997</v>
      </c>
    </row>
    <row r="25" spans="1:15" ht="13.5" thickTop="1" thickBot="1">
      <c r="A25" s="862"/>
      <c r="B25" s="182" t="s">
        <v>44</v>
      </c>
      <c r="C25" s="182" t="s">
        <v>45</v>
      </c>
      <c r="D25" s="354">
        <f t="shared" si="8"/>
        <v>3700</v>
      </c>
      <c r="E25" s="354">
        <f t="shared" si="10"/>
        <v>0</v>
      </c>
      <c r="F25" s="354">
        <f t="shared" si="10"/>
        <v>3950</v>
      </c>
      <c r="G25" s="354">
        <f t="shared" si="10"/>
        <v>-250</v>
      </c>
      <c r="H25" s="354">
        <f t="shared" si="10"/>
        <v>0</v>
      </c>
      <c r="I25" s="354">
        <f t="shared" si="10"/>
        <v>0</v>
      </c>
      <c r="J25" s="247">
        <f t="shared" si="9"/>
        <v>-1971.2329999999999</v>
      </c>
      <c r="K25" s="247">
        <f t="shared" si="11"/>
        <v>0</v>
      </c>
      <c r="L25" s="247">
        <f t="shared" si="11"/>
        <v>-1725.6379999999999</v>
      </c>
      <c r="M25" s="247">
        <f t="shared" si="11"/>
        <v>-245.595</v>
      </c>
      <c r="N25" s="247">
        <f t="shared" si="11"/>
        <v>0</v>
      </c>
      <c r="O25" s="247">
        <f t="shared" si="11"/>
        <v>0</v>
      </c>
    </row>
    <row r="26" spans="1:15" ht="13.5" thickTop="1" thickBot="1">
      <c r="A26" s="862"/>
      <c r="B26" s="186" t="s">
        <v>46</v>
      </c>
      <c r="C26" s="187" t="s">
        <v>192</v>
      </c>
      <c r="D26" s="354">
        <f t="shared" si="8"/>
        <v>6500</v>
      </c>
      <c r="E26" s="357">
        <f t="shared" si="10"/>
        <v>0</v>
      </c>
      <c r="F26" s="357">
        <f t="shared" si="10"/>
        <v>6500</v>
      </c>
      <c r="G26" s="357">
        <f t="shared" si="10"/>
        <v>0</v>
      </c>
      <c r="H26" s="357">
        <f t="shared" si="10"/>
        <v>0</v>
      </c>
      <c r="I26" s="357">
        <f t="shared" si="10"/>
        <v>0</v>
      </c>
      <c r="J26" s="247">
        <f t="shared" si="9"/>
        <v>-604.29800000000023</v>
      </c>
      <c r="K26" s="251">
        <f t="shared" si="11"/>
        <v>0</v>
      </c>
      <c r="L26" s="251">
        <f t="shared" si="11"/>
        <v>-604.29800000000023</v>
      </c>
      <c r="M26" s="251">
        <f t="shared" si="11"/>
        <v>0</v>
      </c>
      <c r="N26" s="251">
        <f t="shared" si="11"/>
        <v>0</v>
      </c>
      <c r="O26" s="251">
        <f t="shared" si="11"/>
        <v>0</v>
      </c>
    </row>
    <row r="27" spans="1:15" ht="13.5" thickTop="1" thickBot="1">
      <c r="A27" s="862"/>
      <c r="B27" s="186" t="s">
        <v>47</v>
      </c>
      <c r="C27" s="187" t="s">
        <v>191</v>
      </c>
      <c r="D27" s="354">
        <f t="shared" si="8"/>
        <v>-2800</v>
      </c>
      <c r="E27" s="357">
        <f t="shared" si="10"/>
        <v>0</v>
      </c>
      <c r="F27" s="357">
        <f t="shared" si="10"/>
        <v>-2550</v>
      </c>
      <c r="G27" s="357">
        <f t="shared" si="10"/>
        <v>-250</v>
      </c>
      <c r="H27" s="357">
        <f t="shared" si="10"/>
        <v>0</v>
      </c>
      <c r="I27" s="357">
        <f t="shared" si="10"/>
        <v>0</v>
      </c>
      <c r="J27" s="247">
        <f t="shared" si="9"/>
        <v>-1366.9350000000002</v>
      </c>
      <c r="K27" s="251">
        <f t="shared" si="11"/>
        <v>0</v>
      </c>
      <c r="L27" s="251">
        <f t="shared" si="11"/>
        <v>-1121.3400000000001</v>
      </c>
      <c r="M27" s="251">
        <f t="shared" si="11"/>
        <v>-245.595</v>
      </c>
      <c r="N27" s="251">
        <f t="shared" si="11"/>
        <v>0</v>
      </c>
      <c r="O27" s="251">
        <f t="shared" si="11"/>
        <v>0</v>
      </c>
    </row>
    <row r="28" spans="1:15" ht="13.5" thickTop="1" thickBot="1">
      <c r="A28" s="862"/>
      <c r="B28" s="182" t="s">
        <v>48</v>
      </c>
      <c r="C28" s="182" t="s">
        <v>49</v>
      </c>
      <c r="D28" s="354">
        <f t="shared" si="8"/>
        <v>177120</v>
      </c>
      <c r="E28" s="354">
        <f t="shared" si="10"/>
        <v>0</v>
      </c>
      <c r="F28" s="354">
        <f t="shared" si="10"/>
        <v>137380</v>
      </c>
      <c r="G28" s="354">
        <f t="shared" si="10"/>
        <v>36320</v>
      </c>
      <c r="H28" s="354">
        <f t="shared" si="10"/>
        <v>3420</v>
      </c>
      <c r="I28" s="354">
        <f t="shared" si="10"/>
        <v>0</v>
      </c>
      <c r="J28" s="247">
        <f t="shared" si="9"/>
        <v>251695.079</v>
      </c>
      <c r="K28" s="247">
        <f t="shared" si="11"/>
        <v>0</v>
      </c>
      <c r="L28" s="247">
        <f t="shared" si="11"/>
        <v>219499.96899999998</v>
      </c>
      <c r="M28" s="247">
        <f t="shared" si="11"/>
        <v>29233.480000000003</v>
      </c>
      <c r="N28" s="247">
        <f t="shared" si="11"/>
        <v>2961.63</v>
      </c>
      <c r="O28" s="247">
        <f t="shared" si="11"/>
        <v>0</v>
      </c>
    </row>
    <row r="29" spans="1:15" ht="13.5" thickTop="1" thickBot="1">
      <c r="A29" s="862"/>
      <c r="B29" s="182" t="s">
        <v>50</v>
      </c>
      <c r="C29" s="182" t="s">
        <v>25</v>
      </c>
      <c r="D29" s="354">
        <f t="shared" si="8"/>
        <v>0</v>
      </c>
      <c r="E29" s="354">
        <f>E14</f>
        <v>0</v>
      </c>
      <c r="F29" s="354">
        <f>F14</f>
        <v>0</v>
      </c>
      <c r="G29" s="354">
        <f>G14</f>
        <v>0</v>
      </c>
      <c r="H29" s="354">
        <f>H14</f>
        <v>0</v>
      </c>
      <c r="I29" s="354">
        <f>I14</f>
        <v>0</v>
      </c>
      <c r="J29" s="247">
        <f t="shared" si="9"/>
        <v>0</v>
      </c>
      <c r="K29" s="247">
        <f>K14</f>
        <v>0</v>
      </c>
      <c r="L29" s="247">
        <f>L14</f>
        <v>0</v>
      </c>
      <c r="M29" s="247">
        <f>M14</f>
        <v>0</v>
      </c>
      <c r="N29" s="247">
        <f>N14</f>
        <v>0</v>
      </c>
      <c r="O29" s="247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362">
        <f>SUM(F30:I30)</f>
        <v>463540</v>
      </c>
      <c r="E30" s="362"/>
      <c r="F30" s="362">
        <f>SUM(F31:F33)</f>
        <v>0</v>
      </c>
      <c r="G30" s="362">
        <f>SUM(G31:G33)</f>
        <v>59430</v>
      </c>
      <c r="H30" s="362">
        <f>SUM(H31:H33)</f>
        <v>240850</v>
      </c>
      <c r="I30" s="362">
        <f>SUM(I31:I33)</f>
        <v>163260</v>
      </c>
      <c r="J30" s="258">
        <f>SUM(L30:O30)</f>
        <v>385813.06900000002</v>
      </c>
      <c r="K30" s="258"/>
      <c r="L30" s="258">
        <f>SUM(L31:L33)</f>
        <v>0</v>
      </c>
      <c r="M30" s="258">
        <f>SUM(M31:M33)</f>
        <v>34314.073000000004</v>
      </c>
      <c r="N30" s="258">
        <f>SUM(N31:N33)</f>
        <v>211834.902</v>
      </c>
      <c r="O30" s="258">
        <f>SUM(O31:O33)</f>
        <v>139664.09400000001</v>
      </c>
    </row>
    <row r="31" spans="1:15" ht="13.5" thickTop="1" thickBot="1">
      <c r="A31" s="862"/>
      <c r="B31" s="182" t="s">
        <v>54</v>
      </c>
      <c r="C31" s="182" t="s">
        <v>55</v>
      </c>
      <c r="D31" s="354">
        <f t="shared" ref="D31:D43" si="12">SUM(E31:I31)</f>
        <v>198100</v>
      </c>
      <c r="E31" s="363"/>
      <c r="F31" s="364"/>
      <c r="G31" s="354">
        <f>F36</f>
        <v>59430</v>
      </c>
      <c r="H31" s="354">
        <f>F37</f>
        <v>138670</v>
      </c>
      <c r="I31" s="363"/>
      <c r="J31" s="247">
        <f t="shared" ref="J31:J43" si="13">SUM(K31:O31)</f>
        <v>171570.36500000002</v>
      </c>
      <c r="K31" s="259"/>
      <c r="L31" s="260"/>
      <c r="M31" s="247">
        <f>L36</f>
        <v>34314.073000000004</v>
      </c>
      <c r="N31" s="247">
        <f>L37</f>
        <v>137256.29200000002</v>
      </c>
      <c r="O31" s="259"/>
    </row>
    <row r="32" spans="1:15" ht="13.5" thickTop="1" thickBot="1">
      <c r="A32" s="862"/>
      <c r="B32" s="182" t="s">
        <v>56</v>
      </c>
      <c r="C32" s="182" t="s">
        <v>57</v>
      </c>
      <c r="D32" s="354">
        <f t="shared" si="12"/>
        <v>102180</v>
      </c>
      <c r="E32" s="363"/>
      <c r="F32" s="363"/>
      <c r="G32" s="363"/>
      <c r="H32" s="354">
        <f>G37</f>
        <v>102180</v>
      </c>
      <c r="I32" s="364">
        <f>G43</f>
        <v>0</v>
      </c>
      <c r="J32" s="247">
        <f t="shared" si="13"/>
        <v>74578.61</v>
      </c>
      <c r="K32" s="259"/>
      <c r="L32" s="259"/>
      <c r="M32" s="259"/>
      <c r="N32" s="247">
        <f>M37</f>
        <v>74578.61</v>
      </c>
      <c r="O32" s="260">
        <f>M43</f>
        <v>0</v>
      </c>
    </row>
    <row r="33" spans="1:18" ht="13.5" thickTop="1" thickBot="1">
      <c r="A33" s="862"/>
      <c r="B33" s="182" t="s">
        <v>58</v>
      </c>
      <c r="C33" s="182" t="s">
        <v>59</v>
      </c>
      <c r="D33" s="354">
        <f t="shared" si="12"/>
        <v>163260</v>
      </c>
      <c r="E33" s="363"/>
      <c r="F33" s="363"/>
      <c r="G33" s="363"/>
      <c r="H33" s="363"/>
      <c r="I33" s="354">
        <f>G38+H38</f>
        <v>163260</v>
      </c>
      <c r="J33" s="247">
        <f t="shared" si="13"/>
        <v>139664.09400000001</v>
      </c>
      <c r="K33" s="259"/>
      <c r="L33" s="259"/>
      <c r="M33" s="259"/>
      <c r="N33" s="259"/>
      <c r="O33" s="247">
        <f>M38+N38</f>
        <v>139664.09400000001</v>
      </c>
    </row>
    <row r="34" spans="1:18" ht="13.5" thickTop="1" thickBot="1">
      <c r="A34" s="862"/>
      <c r="B34" s="179" t="s">
        <v>60</v>
      </c>
      <c r="C34" s="179" t="s">
        <v>61</v>
      </c>
      <c r="D34" s="362">
        <f t="shared" si="12"/>
        <v>463540</v>
      </c>
      <c r="E34" s="362"/>
      <c r="F34" s="362">
        <f>SUM(F35:F38)</f>
        <v>198100</v>
      </c>
      <c r="G34" s="362">
        <f>SUM(G35:G38)</f>
        <v>102180</v>
      </c>
      <c r="H34" s="362">
        <f>SUM(H35:H38)</f>
        <v>163260</v>
      </c>
      <c r="I34" s="285">
        <f>SUM(I35:I38)</f>
        <v>0</v>
      </c>
      <c r="J34" s="258">
        <f t="shared" si="13"/>
        <v>385813.06900000002</v>
      </c>
      <c r="K34" s="258"/>
      <c r="L34" s="258">
        <f>SUM(L35:L38)</f>
        <v>171570.36500000002</v>
      </c>
      <c r="M34" s="258">
        <f>SUM(M35:M38)</f>
        <v>74578.61</v>
      </c>
      <c r="N34" s="258">
        <f>SUM(N35:N38)</f>
        <v>139664.09400000001</v>
      </c>
      <c r="O34" s="261">
        <f>SUM(O35:O38)</f>
        <v>0</v>
      </c>
    </row>
    <row r="35" spans="1:18" ht="13.5" thickTop="1" thickBot="1">
      <c r="A35" s="862"/>
      <c r="B35" s="182" t="s">
        <v>62</v>
      </c>
      <c r="C35" s="182" t="s">
        <v>63</v>
      </c>
      <c r="D35" s="354">
        <f t="shared" si="12"/>
        <v>0</v>
      </c>
      <c r="E35" s="364"/>
      <c r="F35" s="363"/>
      <c r="G35" s="363"/>
      <c r="H35" s="363"/>
      <c r="I35" s="363"/>
      <c r="J35" s="247">
        <f t="shared" si="13"/>
        <v>0</v>
      </c>
      <c r="K35" s="260"/>
      <c r="L35" s="259"/>
      <c r="M35" s="259"/>
      <c r="N35" s="259"/>
      <c r="O35" s="259"/>
    </row>
    <row r="36" spans="1:18" ht="13.5" thickTop="1" thickBot="1">
      <c r="A36" s="862"/>
      <c r="B36" s="182" t="s">
        <v>64</v>
      </c>
      <c r="C36" s="182" t="s">
        <v>65</v>
      </c>
      <c r="D36" s="354">
        <f t="shared" si="12"/>
        <v>59430</v>
      </c>
      <c r="E36" s="354"/>
      <c r="F36" s="333">
        <v>59430</v>
      </c>
      <c r="G36" s="259"/>
      <c r="H36" s="259"/>
      <c r="I36" s="363"/>
      <c r="J36" s="247">
        <f t="shared" si="13"/>
        <v>34314.073000000004</v>
      </c>
      <c r="K36" s="247"/>
      <c r="L36" s="356">
        <v>34314.073000000004</v>
      </c>
      <c r="M36" s="259"/>
      <c r="N36" s="259"/>
      <c r="O36" s="259"/>
      <c r="P36" s="24"/>
      <c r="Q36" s="592"/>
    </row>
    <row r="37" spans="1:18" ht="13.5" thickTop="1" thickBot="1">
      <c r="A37" s="862"/>
      <c r="B37" s="182" t="s">
        <v>66</v>
      </c>
      <c r="C37" s="182" t="s">
        <v>67</v>
      </c>
      <c r="D37" s="354">
        <f t="shared" si="12"/>
        <v>240850</v>
      </c>
      <c r="E37" s="354"/>
      <c r="F37" s="333">
        <v>138670</v>
      </c>
      <c r="G37" s="333">
        <v>102180</v>
      </c>
      <c r="H37" s="259"/>
      <c r="I37" s="363"/>
      <c r="J37" s="247">
        <f t="shared" si="13"/>
        <v>211834.902</v>
      </c>
      <c r="K37" s="247"/>
      <c r="L37" s="356">
        <v>137256.29200000002</v>
      </c>
      <c r="M37" s="333">
        <v>74578.61</v>
      </c>
      <c r="N37" s="259"/>
      <c r="O37" s="259"/>
      <c r="Q37" s="592"/>
    </row>
    <row r="38" spans="1:18" ht="13.5" thickTop="1" thickBot="1">
      <c r="A38" s="862"/>
      <c r="B38" s="182" t="s">
        <v>68</v>
      </c>
      <c r="C38" s="182" t="s">
        <v>69</v>
      </c>
      <c r="D38" s="354">
        <f t="shared" si="12"/>
        <v>163260</v>
      </c>
      <c r="E38" s="363"/>
      <c r="F38" s="259"/>
      <c r="G38" s="260"/>
      <c r="H38" s="333">
        <v>163260</v>
      </c>
      <c r="I38" s="363"/>
      <c r="J38" s="247">
        <f t="shared" si="13"/>
        <v>139664.09400000001</v>
      </c>
      <c r="K38" s="259"/>
      <c r="L38" s="259"/>
      <c r="M38" s="260"/>
      <c r="N38" s="333">
        <v>139664.09400000001</v>
      </c>
      <c r="O38" s="259"/>
      <c r="P38" s="24"/>
      <c r="Q38" s="592"/>
    </row>
    <row r="39" spans="1:18" s="17" customFormat="1" ht="13.5" thickTop="1" thickBot="1">
      <c r="A39" s="862"/>
      <c r="B39" s="232" t="s">
        <v>70</v>
      </c>
      <c r="C39" s="232" t="s">
        <v>71</v>
      </c>
      <c r="D39" s="365">
        <f t="shared" si="12"/>
        <v>0</v>
      </c>
      <c r="E39" s="365"/>
      <c r="F39" s="365">
        <f>SUM(F40:F43)</f>
        <v>-198100</v>
      </c>
      <c r="G39" s="365">
        <f>SUM(G40:G43)</f>
        <v>-42750</v>
      </c>
      <c r="H39" s="365">
        <f>SUM(H40:H43)</f>
        <v>77590</v>
      </c>
      <c r="I39" s="365">
        <f>SUM(I40:I43)</f>
        <v>163260</v>
      </c>
      <c r="J39" s="262">
        <f t="shared" si="13"/>
        <v>0</v>
      </c>
      <c r="K39" s="262"/>
      <c r="L39" s="262">
        <f>SUM(L40:L43)</f>
        <v>-171570.36500000002</v>
      </c>
      <c r="M39" s="262">
        <f>SUM(M40:M43)</f>
        <v>-40264.536999999997</v>
      </c>
      <c r="N39" s="262">
        <f>SUM(N40:N43)</f>
        <v>72170.80799999999</v>
      </c>
      <c r="O39" s="262">
        <f>SUM(O40:O43)</f>
        <v>139664.09400000001</v>
      </c>
      <c r="P39" s="725"/>
      <c r="Q39" s="724"/>
    </row>
    <row r="40" spans="1:18" ht="13.5" thickTop="1" thickBot="1">
      <c r="A40" s="862"/>
      <c r="B40" s="182" t="s">
        <v>72</v>
      </c>
      <c r="C40" s="182" t="s">
        <v>5</v>
      </c>
      <c r="D40" s="366">
        <f t="shared" si="12"/>
        <v>198100</v>
      </c>
      <c r="E40" s="367"/>
      <c r="F40" s="367">
        <f>F31-F35</f>
        <v>0</v>
      </c>
      <c r="G40" s="367">
        <f>G31-G35</f>
        <v>59430</v>
      </c>
      <c r="H40" s="367">
        <f>H31-H35</f>
        <v>138670</v>
      </c>
      <c r="I40" s="368"/>
      <c r="J40" s="264">
        <f t="shared" si="13"/>
        <v>171570.36500000002</v>
      </c>
      <c r="K40" s="265"/>
      <c r="L40" s="265">
        <f>L31-L35</f>
        <v>0</v>
      </c>
      <c r="M40" s="265">
        <f>M31-M35</f>
        <v>34314.073000000004</v>
      </c>
      <c r="N40" s="265">
        <f>N31-N35</f>
        <v>137256.29200000002</v>
      </c>
      <c r="O40" s="266"/>
      <c r="P40" s="24"/>
      <c r="Q40" s="321"/>
    </row>
    <row r="41" spans="1:18" ht="13.5" thickTop="1" thickBot="1">
      <c r="A41" s="862"/>
      <c r="B41" s="182" t="s">
        <v>73</v>
      </c>
      <c r="C41" s="182" t="s">
        <v>74</v>
      </c>
      <c r="D41" s="366">
        <f t="shared" si="12"/>
        <v>42750</v>
      </c>
      <c r="E41" s="367">
        <f>E32-E36</f>
        <v>0</v>
      </c>
      <c r="F41" s="367">
        <f>F32-F36</f>
        <v>-59430</v>
      </c>
      <c r="G41" s="368"/>
      <c r="H41" s="367">
        <f>H32-H36</f>
        <v>102180</v>
      </c>
      <c r="I41" s="368"/>
      <c r="J41" s="264">
        <f t="shared" si="13"/>
        <v>40264.536999999997</v>
      </c>
      <c r="K41" s="265">
        <f>K32-K36</f>
        <v>0</v>
      </c>
      <c r="L41" s="265">
        <f>L32-L36</f>
        <v>-34314.073000000004</v>
      </c>
      <c r="M41" s="266"/>
      <c r="N41" s="265">
        <f>N32-N36</f>
        <v>74578.61</v>
      </c>
      <c r="O41" s="266"/>
    </row>
    <row r="42" spans="1:18" ht="13.5" thickTop="1" thickBot="1">
      <c r="A42" s="862"/>
      <c r="B42" s="182" t="s">
        <v>75</v>
      </c>
      <c r="C42" s="182" t="s">
        <v>76</v>
      </c>
      <c r="D42" s="366">
        <f t="shared" si="12"/>
        <v>-77590</v>
      </c>
      <c r="E42" s="367">
        <f>E33-E37</f>
        <v>0</v>
      </c>
      <c r="F42" s="367">
        <f>F33-F37</f>
        <v>-138670</v>
      </c>
      <c r="G42" s="367">
        <f>G33-G37</f>
        <v>-102180</v>
      </c>
      <c r="H42" s="368"/>
      <c r="I42" s="367">
        <f>I33-I37</f>
        <v>163260</v>
      </c>
      <c r="J42" s="264">
        <f t="shared" si="13"/>
        <v>-72170.80799999999</v>
      </c>
      <c r="K42" s="265">
        <f>K33-K37</f>
        <v>0</v>
      </c>
      <c r="L42" s="265">
        <f>L33-L37</f>
        <v>-137256.29200000002</v>
      </c>
      <c r="M42" s="265">
        <f>M33-M37</f>
        <v>-74578.61</v>
      </c>
      <c r="N42" s="266"/>
      <c r="O42" s="265">
        <f>O33-O37</f>
        <v>139664.09400000001</v>
      </c>
    </row>
    <row r="43" spans="1:18" ht="13.5" thickTop="1" thickBot="1">
      <c r="A43" s="862"/>
      <c r="B43" s="199" t="s">
        <v>77</v>
      </c>
      <c r="C43" s="199" t="s">
        <v>8</v>
      </c>
      <c r="D43" s="367">
        <f t="shared" si="12"/>
        <v>-163260</v>
      </c>
      <c r="E43" s="368"/>
      <c r="F43" s="368"/>
      <c r="G43" s="367"/>
      <c r="H43" s="367">
        <f>-H38</f>
        <v>-163260</v>
      </c>
      <c r="I43" s="368"/>
      <c r="J43" s="265">
        <f t="shared" si="13"/>
        <v>-139664.09400000001</v>
      </c>
      <c r="K43" s="266"/>
      <c r="L43" s="266"/>
      <c r="M43" s="265"/>
      <c r="N43" s="265">
        <f>-N38</f>
        <v>-139664.09400000001</v>
      </c>
      <c r="O43" s="266"/>
    </row>
    <row r="44" spans="1:18" ht="13.5" thickTop="1" thickBot="1">
      <c r="A44" s="177"/>
      <c r="B44" s="200" t="s">
        <v>78</v>
      </c>
      <c r="C44" s="200" t="s">
        <v>79</v>
      </c>
      <c r="D44" s="201">
        <f>D22</f>
        <v>352500</v>
      </c>
      <c r="E44" s="201">
        <f>E22+E30</f>
        <v>0</v>
      </c>
      <c r="F44" s="201">
        <f>F22+F30</f>
        <v>275350</v>
      </c>
      <c r="G44" s="201">
        <f>G22+G30</f>
        <v>109090</v>
      </c>
      <c r="H44" s="201">
        <f>H22+H30</f>
        <v>268340</v>
      </c>
      <c r="I44" s="201">
        <f>I22+I30</f>
        <v>163260</v>
      </c>
      <c r="J44" s="201">
        <f>J22</f>
        <v>315491.24200000003</v>
      </c>
      <c r="K44" s="201">
        <f>K22+K30</f>
        <v>0</v>
      </c>
      <c r="L44" s="201">
        <f>L22+L30</f>
        <v>247344.443</v>
      </c>
      <c r="M44" s="201">
        <f>M22+M30</f>
        <v>76644.290999999997</v>
      </c>
      <c r="N44" s="201">
        <f>N22+N30</f>
        <v>237650.375</v>
      </c>
      <c r="O44" s="201">
        <f>O22+O30</f>
        <v>139665.20200000002</v>
      </c>
    </row>
    <row r="45" spans="1:18" ht="13.5" thickTop="1" thickBot="1">
      <c r="A45" s="177"/>
      <c r="B45" s="202" t="s">
        <v>80</v>
      </c>
      <c r="C45" s="202" t="s">
        <v>81</v>
      </c>
      <c r="D45" s="203">
        <f>D44</f>
        <v>352500</v>
      </c>
      <c r="E45" s="203">
        <f>E143+E151+E34</f>
        <v>0</v>
      </c>
      <c r="F45" s="203">
        <f>F143+F151+F34-G49-H49-G73-H73-G78-H78-H54-H97-H109-G97-G102-H102-G109-G114-H114-G121-H121-G126-H126-G133-H133</f>
        <v>275350</v>
      </c>
      <c r="G45" s="203">
        <f>G143+G151+G34-H50-I50-H55-I55-H62-I62-H67-I67-H98-H74-H79-H86-H91-H103-H110-H115-H122-H127-H134</f>
        <v>106739.4</v>
      </c>
      <c r="H45" s="203">
        <f>H143+H151+H34-I51-I56-I63-I68-I75-I80-I87-I92-I99-I104-I111-I116-I123-I128</f>
        <v>245677</v>
      </c>
      <c r="I45" s="203">
        <f>I151+I143</f>
        <v>162475.20000000001</v>
      </c>
      <c r="J45" s="203">
        <f>J44</f>
        <v>315491.24200000003</v>
      </c>
      <c r="K45" s="203">
        <f>K143+K151+K34</f>
        <v>0</v>
      </c>
      <c r="L45" s="203">
        <f>L143+L151+L34-M49-N49-M73-N73-M78-N78-N54-N97-N109-M97-M102-N102-M109-M114-N114-M121-N121-M126-N126-M133-N133</f>
        <v>247344.44300000003</v>
      </c>
      <c r="M45" s="203">
        <f>M143+M151+M34-N50-O50-N55-O55-N62-O62-N67-O67-N98-N74-N79-N86-N91-N103-N110-N115-N122-N127-N134</f>
        <v>76593.102000000014</v>
      </c>
      <c r="N45" s="203">
        <f>N143+N151+N34-O51-O56-O63-O68-O75-O80-O87-O92-O99-O104-O111-O116-O123-O128</f>
        <v>216487.24900000001</v>
      </c>
      <c r="O45" s="203">
        <f>O151+O143</f>
        <v>138668.94600000005</v>
      </c>
      <c r="P45" s="24"/>
    </row>
    <row r="46" spans="1:18" ht="13.5" thickTop="1" thickBot="1">
      <c r="A46" s="862" t="s">
        <v>82</v>
      </c>
      <c r="B46" s="179" t="s">
        <v>83</v>
      </c>
      <c r="C46" s="179" t="s">
        <v>84</v>
      </c>
      <c r="D46" s="181">
        <f>SUM(E46:I46)</f>
        <v>308450</v>
      </c>
      <c r="E46" s="322">
        <f>E47+E59+E71+E83+E95</f>
        <v>0</v>
      </c>
      <c r="F46" s="322">
        <f>F47+F59+F71+F83+F95+F107+F119+F131</f>
        <v>71750</v>
      </c>
      <c r="G46" s="322">
        <f>G47+G59+G71+G83+G95+G107+G119+G131</f>
        <v>2910</v>
      </c>
      <c r="H46" s="322">
        <f>H47+H59+H71+H83+H95+H107+H119+H131</f>
        <v>94880</v>
      </c>
      <c r="I46" s="322">
        <f>I47+I59+I71+I83+I95+I107+I119+I131</f>
        <v>138910</v>
      </c>
      <c r="J46" s="532">
        <f>SUM(K46:O46)</f>
        <v>254871.902</v>
      </c>
      <c r="K46" s="322">
        <f>K47+K59+K71+K83+K95</f>
        <v>0</v>
      </c>
      <c r="L46" s="322">
        <f>L47+L59+L71+L83+L95+L107+L119+L131</f>
        <v>70760.921999999991</v>
      </c>
      <c r="M46" s="322">
        <f>M47+M59+M71+M83+M95+M107+M119+M131</f>
        <v>633.351</v>
      </c>
      <c r="N46" s="322">
        <f>N47+N59+N71+N83+N95+N107+N119+N131</f>
        <v>88318.051999999996</v>
      </c>
      <c r="O46" s="322">
        <f>O47+O59+O71+O83+O95+O107+O119+O131</f>
        <v>95159.577000000005</v>
      </c>
    </row>
    <row r="47" spans="1:18" s="3" customFormat="1" ht="13.5" thickTop="1" thickBot="1">
      <c r="A47" s="862"/>
      <c r="B47" s="270" t="s">
        <v>85</v>
      </c>
      <c r="C47" s="271" t="s">
        <v>86</v>
      </c>
      <c r="D47" s="369">
        <f t="shared" ref="D47:D94" si="14">SUM(E47:I47)</f>
        <v>229690</v>
      </c>
      <c r="E47" s="370"/>
      <c r="F47" s="478">
        <f>17140-H49-H54</f>
        <v>1940</v>
      </c>
      <c r="G47" s="478">
        <f>2730-H50</f>
        <v>730</v>
      </c>
      <c r="H47" s="479">
        <f>71550+H49+H50+H54</f>
        <v>88750</v>
      </c>
      <c r="I47" s="478">
        <v>138270</v>
      </c>
      <c r="J47" s="590">
        <f t="shared" ref="J47:J94" si="15">SUM(K47:O47)</f>
        <v>177760.935</v>
      </c>
      <c r="K47" s="584"/>
      <c r="L47" s="273">
        <v>2364.6129999999994</v>
      </c>
      <c r="M47" s="273">
        <v>582.16200000000003</v>
      </c>
      <c r="N47" s="273">
        <v>80713.568999999989</v>
      </c>
      <c r="O47" s="273">
        <v>94100.591</v>
      </c>
      <c r="Q47" s="720"/>
      <c r="R47" s="720"/>
    </row>
    <row r="48" spans="1:18" ht="13.5" thickTop="1" thickBot="1">
      <c r="A48" s="862"/>
      <c r="B48" s="263" t="s">
        <v>87</v>
      </c>
      <c r="C48" s="263" t="s">
        <v>88</v>
      </c>
      <c r="D48" s="367">
        <f t="shared" si="14"/>
        <v>0</v>
      </c>
      <c r="E48" s="367"/>
      <c r="F48" s="367"/>
      <c r="G48" s="367"/>
      <c r="H48" s="367"/>
      <c r="I48" s="367"/>
      <c r="J48" s="265">
        <f t="shared" si="15"/>
        <v>0</v>
      </c>
      <c r="K48" s="438"/>
      <c r="L48" s="438"/>
      <c r="M48" s="265"/>
      <c r="N48" s="438"/>
      <c r="O48" s="438"/>
      <c r="Q48" s="24"/>
      <c r="R48" s="318"/>
    </row>
    <row r="49" spans="1:17" ht="13.5" thickTop="1" thickBot="1">
      <c r="A49" s="862"/>
      <c r="B49" s="275"/>
      <c r="C49" s="276" t="s">
        <v>89</v>
      </c>
      <c r="D49" s="371">
        <f t="shared" si="14"/>
        <v>14100</v>
      </c>
      <c r="E49" s="372"/>
      <c r="F49" s="372"/>
      <c r="G49" s="371"/>
      <c r="H49" s="373">
        <v>14100</v>
      </c>
      <c r="I49" s="372"/>
      <c r="J49" s="277">
        <f t="shared" si="15"/>
        <v>11231.2</v>
      </c>
      <c r="K49" s="439"/>
      <c r="L49" s="439"/>
      <c r="M49" s="277"/>
      <c r="N49" s="461">
        <v>11231.2</v>
      </c>
      <c r="O49" s="439"/>
    </row>
    <row r="50" spans="1:17" ht="13.5" thickTop="1" thickBot="1">
      <c r="A50" s="862"/>
      <c r="B50" s="275"/>
      <c r="C50" s="276" t="s">
        <v>90</v>
      </c>
      <c r="D50" s="371">
        <f t="shared" si="14"/>
        <v>2000</v>
      </c>
      <c r="E50" s="372"/>
      <c r="F50" s="372"/>
      <c r="G50" s="372"/>
      <c r="H50" s="371">
        <v>2000</v>
      </c>
      <c r="I50" s="371"/>
      <c r="J50" s="277">
        <f t="shared" si="15"/>
        <v>331.27100000000002</v>
      </c>
      <c r="K50" s="439"/>
      <c r="L50" s="439"/>
      <c r="M50" s="278"/>
      <c r="N50" s="461">
        <f>331.271</f>
        <v>331.27100000000002</v>
      </c>
      <c r="O50" s="585"/>
    </row>
    <row r="51" spans="1:17" ht="13.5" thickTop="1" thickBot="1">
      <c r="A51" s="862"/>
      <c r="B51" s="275"/>
      <c r="C51" s="276" t="s">
        <v>91</v>
      </c>
      <c r="D51" s="371">
        <f t="shared" si="14"/>
        <v>0</v>
      </c>
      <c r="E51" s="372"/>
      <c r="F51" s="372"/>
      <c r="G51" s="372"/>
      <c r="H51" s="372"/>
      <c r="I51" s="371"/>
      <c r="J51" s="277">
        <f t="shared" si="15"/>
        <v>0</v>
      </c>
      <c r="K51" s="278"/>
      <c r="L51" s="278"/>
      <c r="M51" s="278"/>
      <c r="N51" s="278"/>
      <c r="O51" s="277"/>
    </row>
    <row r="52" spans="1:17" ht="13.5" thickTop="1" thickBot="1">
      <c r="A52" s="862"/>
      <c r="B52" s="263" t="s">
        <v>92</v>
      </c>
      <c r="C52" s="263" t="s">
        <v>93</v>
      </c>
      <c r="D52" s="367">
        <f t="shared" si="14"/>
        <v>0</v>
      </c>
      <c r="E52" s="367"/>
      <c r="F52" s="384"/>
      <c r="G52" s="384"/>
      <c r="H52" s="384"/>
      <c r="I52" s="384"/>
      <c r="J52" s="438">
        <f t="shared" si="15"/>
        <v>0</v>
      </c>
      <c r="K52" s="387"/>
      <c r="L52" s="385"/>
      <c r="M52" s="340"/>
      <c r="N52" s="385"/>
      <c r="O52" s="340"/>
      <c r="Q52" s="321"/>
    </row>
    <row r="53" spans="1:17" ht="13.5" thickTop="1" thickBot="1">
      <c r="A53" s="862"/>
      <c r="B53" s="263" t="s">
        <v>94</v>
      </c>
      <c r="C53" s="263" t="s">
        <v>95</v>
      </c>
      <c r="D53" s="374">
        <f t="shared" si="14"/>
        <v>20670</v>
      </c>
      <c r="E53" s="376"/>
      <c r="F53" s="376"/>
      <c r="G53" s="375">
        <v>597</v>
      </c>
      <c r="H53" s="375">
        <v>20073</v>
      </c>
      <c r="I53" s="367"/>
      <c r="J53" s="464">
        <f t="shared" si="15"/>
        <v>19871.236000000008</v>
      </c>
      <c r="K53" s="238"/>
      <c r="L53" s="238"/>
      <c r="M53" s="281">
        <v>582.16200000000003</v>
      </c>
      <c r="N53" s="281">
        <v>19281.085000000006</v>
      </c>
      <c r="O53" s="717">
        <v>7.9890000000000008</v>
      </c>
      <c r="P53" s="321"/>
    </row>
    <row r="54" spans="1:17" ht="13.5" thickTop="1" thickBot="1">
      <c r="A54" s="862"/>
      <c r="B54" s="275"/>
      <c r="C54" s="276" t="s">
        <v>89</v>
      </c>
      <c r="D54" s="371">
        <f t="shared" si="14"/>
        <v>1100</v>
      </c>
      <c r="E54" s="377"/>
      <c r="F54" s="377"/>
      <c r="G54" s="376"/>
      <c r="H54" s="376">
        <v>1100</v>
      </c>
      <c r="I54" s="372"/>
      <c r="J54" s="277">
        <f t="shared" si="15"/>
        <v>5747.5280000000002</v>
      </c>
      <c r="K54" s="282"/>
      <c r="L54" s="282"/>
      <c r="M54" s="238"/>
      <c r="N54" s="238">
        <v>5747.5280000000002</v>
      </c>
      <c r="O54" s="278"/>
    </row>
    <row r="55" spans="1:17" ht="13.5" thickTop="1" thickBot="1">
      <c r="A55" s="862"/>
      <c r="B55" s="275"/>
      <c r="C55" s="276" t="s">
        <v>90</v>
      </c>
      <c r="D55" s="371">
        <f t="shared" si="14"/>
        <v>0</v>
      </c>
      <c r="E55" s="372"/>
      <c r="F55" s="372"/>
      <c r="G55" s="372"/>
      <c r="H55" s="371"/>
      <c r="I55" s="371"/>
      <c r="J55" s="277">
        <f t="shared" si="15"/>
        <v>0</v>
      </c>
      <c r="K55" s="278"/>
      <c r="L55" s="278"/>
      <c r="M55" s="278"/>
      <c r="N55" s="277"/>
      <c r="O55" s="277"/>
    </row>
    <row r="56" spans="1:17" ht="13.5" thickTop="1" thickBot="1">
      <c r="A56" s="862"/>
      <c r="B56" s="275"/>
      <c r="C56" s="276" t="s">
        <v>91</v>
      </c>
      <c r="D56" s="371">
        <f t="shared" si="14"/>
        <v>0</v>
      </c>
      <c r="E56" s="372"/>
      <c r="F56" s="372"/>
      <c r="G56" s="372"/>
      <c r="H56" s="372"/>
      <c r="I56" s="371"/>
      <c r="J56" s="277">
        <f t="shared" si="15"/>
        <v>0</v>
      </c>
      <c r="K56" s="278"/>
      <c r="L56" s="278"/>
      <c r="M56" s="278"/>
      <c r="N56" s="278"/>
      <c r="O56" s="277"/>
    </row>
    <row r="57" spans="1:17" ht="13.5" thickTop="1" thickBot="1">
      <c r="A57" s="862"/>
      <c r="B57" s="263" t="s">
        <v>96</v>
      </c>
      <c r="C57" s="263" t="s">
        <v>97</v>
      </c>
      <c r="D57" s="367">
        <f t="shared" si="14"/>
        <v>315</v>
      </c>
      <c r="E57" s="367"/>
      <c r="F57" s="367"/>
      <c r="G57" s="367"/>
      <c r="H57" s="329">
        <v>315</v>
      </c>
      <c r="I57" s="367"/>
      <c r="J57" s="265">
        <f t="shared" si="15"/>
        <v>250.09525500000001</v>
      </c>
      <c r="K57" s="265"/>
      <c r="L57" s="265"/>
      <c r="M57" s="265"/>
      <c r="N57" s="340">
        <v>250.09525500000001</v>
      </c>
      <c r="O57" s="265"/>
    </row>
    <row r="58" spans="1:17" ht="13.5" thickTop="1" thickBot="1">
      <c r="A58" s="862"/>
      <c r="B58" s="263" t="s">
        <v>98</v>
      </c>
      <c r="C58" s="263" t="s">
        <v>99</v>
      </c>
      <c r="D58" s="367">
        <f t="shared" si="14"/>
        <v>0</v>
      </c>
      <c r="E58" s="367"/>
      <c r="F58" s="367"/>
      <c r="G58" s="367"/>
      <c r="H58" s="323"/>
      <c r="I58" s="367"/>
      <c r="J58" s="265">
        <f t="shared" si="15"/>
        <v>0</v>
      </c>
      <c r="K58" s="265"/>
      <c r="L58" s="265"/>
      <c r="M58" s="265"/>
      <c r="N58" s="283"/>
      <c r="O58" s="265"/>
    </row>
    <row r="59" spans="1:17" ht="13.5" thickTop="1" thickBot="1">
      <c r="A59" s="862"/>
      <c r="B59" s="204" t="s">
        <v>171</v>
      </c>
      <c r="C59" s="205" t="s">
        <v>190</v>
      </c>
      <c r="D59" s="325">
        <f t="shared" si="14"/>
        <v>2560</v>
      </c>
      <c r="E59" s="339"/>
      <c r="F59" s="339">
        <v>1570</v>
      </c>
      <c r="G59" s="284"/>
      <c r="H59" s="339">
        <v>350</v>
      </c>
      <c r="I59" s="339">
        <v>640</v>
      </c>
      <c r="J59" s="206">
        <f t="shared" si="15"/>
        <v>2368.5749999999998</v>
      </c>
      <c r="K59" s="589"/>
      <c r="L59" s="589">
        <v>1136.7719999999999</v>
      </c>
      <c r="M59" s="214"/>
      <c r="N59" s="339">
        <v>535.57399999999996</v>
      </c>
      <c r="O59" s="339">
        <v>696.22900000000004</v>
      </c>
      <c r="Q59" s="24"/>
    </row>
    <row r="60" spans="1:17" ht="13.5" thickTop="1" thickBot="1">
      <c r="A60" s="862"/>
      <c r="B60" s="182" t="s">
        <v>172</v>
      </c>
      <c r="C60" s="182" t="s">
        <v>88</v>
      </c>
      <c r="D60" s="324">
        <f t="shared" si="14"/>
        <v>0</v>
      </c>
      <c r="E60" s="324"/>
      <c r="F60" s="324"/>
      <c r="G60" s="324"/>
      <c r="H60" s="324"/>
      <c r="I60" s="324"/>
      <c r="J60" s="196">
        <f t="shared" si="15"/>
        <v>0</v>
      </c>
      <c r="K60" s="196"/>
      <c r="L60" s="196"/>
      <c r="M60" s="196"/>
      <c r="N60" s="196"/>
      <c r="O60" s="196"/>
      <c r="P60" s="318"/>
    </row>
    <row r="61" spans="1:17" ht="13.5" thickTop="1" thickBot="1">
      <c r="A61" s="862"/>
      <c r="B61" s="207"/>
      <c r="C61" s="208" t="s">
        <v>89</v>
      </c>
      <c r="D61" s="326">
        <f t="shared" si="14"/>
        <v>0</v>
      </c>
      <c r="E61" s="327"/>
      <c r="F61" s="327"/>
      <c r="G61" s="326"/>
      <c r="H61" s="326"/>
      <c r="I61" s="327"/>
      <c r="J61" s="209">
        <f t="shared" si="15"/>
        <v>0</v>
      </c>
      <c r="K61" s="210"/>
      <c r="L61" s="210"/>
      <c r="M61" s="381"/>
      <c r="N61" s="381"/>
      <c r="O61" s="210"/>
    </row>
    <row r="62" spans="1:17" ht="13.5" thickTop="1" thickBot="1">
      <c r="A62" s="862"/>
      <c r="B62" s="207"/>
      <c r="C62" s="208" t="s">
        <v>90</v>
      </c>
      <c r="D62" s="326">
        <f t="shared" si="14"/>
        <v>0</v>
      </c>
      <c r="E62" s="327"/>
      <c r="F62" s="327"/>
      <c r="G62" s="327"/>
      <c r="H62" s="326"/>
      <c r="I62" s="326"/>
      <c r="J62" s="209">
        <f t="shared" si="15"/>
        <v>0</v>
      </c>
      <c r="K62" s="210"/>
      <c r="L62" s="210"/>
      <c r="M62" s="382"/>
      <c r="N62" s="381"/>
      <c r="O62" s="209"/>
    </row>
    <row r="63" spans="1:17" ht="13.5" thickTop="1" thickBot="1">
      <c r="A63" s="862"/>
      <c r="B63" s="207"/>
      <c r="C63" s="208" t="s">
        <v>91</v>
      </c>
      <c r="D63" s="326">
        <f t="shared" si="14"/>
        <v>0</v>
      </c>
      <c r="E63" s="327"/>
      <c r="F63" s="327"/>
      <c r="G63" s="327"/>
      <c r="H63" s="327"/>
      <c r="I63" s="326"/>
      <c r="J63" s="209">
        <f t="shared" si="15"/>
        <v>0</v>
      </c>
      <c r="K63" s="210"/>
      <c r="L63" s="210"/>
      <c r="M63" s="210"/>
      <c r="N63" s="210"/>
      <c r="O63" s="209"/>
    </row>
    <row r="64" spans="1:17" ht="13.5" thickTop="1" thickBot="1">
      <c r="A64" s="862"/>
      <c r="B64" s="182" t="s">
        <v>173</v>
      </c>
      <c r="C64" s="182" t="s">
        <v>93</v>
      </c>
      <c r="D64" s="324">
        <f t="shared" si="14"/>
        <v>0</v>
      </c>
      <c r="E64" s="432"/>
      <c r="F64" s="432"/>
      <c r="G64" s="328"/>
      <c r="H64" s="328"/>
      <c r="I64" s="324"/>
      <c r="J64" s="463">
        <f t="shared" si="15"/>
        <v>0</v>
      </c>
      <c r="K64" s="334"/>
      <c r="L64" s="334"/>
      <c r="M64" s="211"/>
      <c r="N64" s="211"/>
      <c r="O64" s="196"/>
    </row>
    <row r="65" spans="1:15" ht="13.5" thickTop="1" thickBot="1">
      <c r="A65" s="862"/>
      <c r="B65" s="182" t="s">
        <v>174</v>
      </c>
      <c r="C65" s="182" t="s">
        <v>95</v>
      </c>
      <c r="D65" s="330">
        <f t="shared" si="14"/>
        <v>0</v>
      </c>
      <c r="E65" s="378"/>
      <c r="F65" s="326"/>
      <c r="G65" s="326"/>
      <c r="H65" s="326"/>
      <c r="I65" s="324"/>
      <c r="J65" s="431">
        <f t="shared" si="15"/>
        <v>0</v>
      </c>
      <c r="K65" s="319"/>
      <c r="L65" s="209"/>
      <c r="M65" s="209"/>
      <c r="N65" s="209"/>
      <c r="O65" s="196"/>
    </row>
    <row r="66" spans="1:15" ht="13.5" thickTop="1" thickBot="1">
      <c r="A66" s="862"/>
      <c r="B66" s="207"/>
      <c r="C66" s="208" t="s">
        <v>89</v>
      </c>
      <c r="D66" s="326">
        <f t="shared" si="14"/>
        <v>0</v>
      </c>
      <c r="E66" s="327"/>
      <c r="F66" s="327"/>
      <c r="G66" s="326"/>
      <c r="H66" s="326"/>
      <c r="I66" s="327"/>
      <c r="J66" s="209">
        <f t="shared" si="15"/>
        <v>0</v>
      </c>
      <c r="K66" s="210"/>
      <c r="L66" s="210"/>
      <c r="M66" s="209"/>
      <c r="N66" s="209"/>
      <c r="O66" s="210"/>
    </row>
    <row r="67" spans="1:15" ht="13.5" thickTop="1" thickBot="1">
      <c r="A67" s="862"/>
      <c r="B67" s="207"/>
      <c r="C67" s="208" t="s">
        <v>90</v>
      </c>
      <c r="D67" s="326">
        <f t="shared" si="14"/>
        <v>0</v>
      </c>
      <c r="E67" s="327"/>
      <c r="F67" s="327"/>
      <c r="G67" s="327"/>
      <c r="H67" s="326"/>
      <c r="I67" s="326"/>
      <c r="J67" s="209">
        <f t="shared" si="15"/>
        <v>0</v>
      </c>
      <c r="K67" s="210"/>
      <c r="L67" s="210"/>
      <c r="M67" s="210"/>
      <c r="N67" s="209"/>
      <c r="O67" s="209"/>
    </row>
    <row r="68" spans="1:15" ht="13.5" thickTop="1" thickBot="1">
      <c r="A68" s="862"/>
      <c r="B68" s="207"/>
      <c r="C68" s="208" t="s">
        <v>91</v>
      </c>
      <c r="D68" s="326">
        <f t="shared" si="14"/>
        <v>0</v>
      </c>
      <c r="E68" s="327"/>
      <c r="F68" s="327"/>
      <c r="G68" s="327"/>
      <c r="H68" s="327"/>
      <c r="I68" s="326"/>
      <c r="J68" s="209">
        <f t="shared" si="15"/>
        <v>0</v>
      </c>
      <c r="K68" s="210"/>
      <c r="L68" s="210"/>
      <c r="M68" s="210"/>
      <c r="N68" s="210"/>
      <c r="O68" s="209"/>
    </row>
    <row r="69" spans="1:15" ht="13.5" thickTop="1" thickBot="1">
      <c r="A69" s="862"/>
      <c r="B69" s="182" t="s">
        <v>176</v>
      </c>
      <c r="C69" s="182" t="s">
        <v>97</v>
      </c>
      <c r="D69" s="324">
        <f t="shared" si="14"/>
        <v>0</v>
      </c>
      <c r="E69" s="324"/>
      <c r="F69" s="324"/>
      <c r="G69" s="324"/>
      <c r="H69" s="323"/>
      <c r="I69" s="324"/>
      <c r="J69" s="196">
        <f t="shared" si="15"/>
        <v>0</v>
      </c>
      <c r="K69" s="196"/>
      <c r="L69" s="196"/>
      <c r="M69" s="196"/>
      <c r="N69" s="185"/>
      <c r="O69" s="196"/>
    </row>
    <row r="70" spans="1:15" ht="13.5" thickTop="1" thickBot="1">
      <c r="A70" s="862"/>
      <c r="B70" s="182" t="s">
        <v>175</v>
      </c>
      <c r="C70" s="182" t="s">
        <v>99</v>
      </c>
      <c r="D70" s="324">
        <f t="shared" si="14"/>
        <v>0</v>
      </c>
      <c r="E70" s="324"/>
      <c r="F70" s="324"/>
      <c r="G70" s="324"/>
      <c r="H70" s="323"/>
      <c r="I70" s="324"/>
      <c r="J70" s="196">
        <f t="shared" si="15"/>
        <v>0</v>
      </c>
      <c r="K70" s="196"/>
      <c r="L70" s="196"/>
      <c r="M70" s="196"/>
      <c r="N70" s="185"/>
      <c r="O70" s="196"/>
    </row>
    <row r="71" spans="1:15" ht="13.5" thickTop="1" thickBot="1">
      <c r="A71" s="862"/>
      <c r="B71" s="204" t="s">
        <v>177</v>
      </c>
      <c r="C71" s="205" t="s">
        <v>203</v>
      </c>
      <c r="D71" s="325">
        <f t="shared" si="14"/>
        <v>3050</v>
      </c>
      <c r="E71" s="284"/>
      <c r="F71" s="284"/>
      <c r="G71" s="339">
        <v>2180</v>
      </c>
      <c r="H71" s="339">
        <v>870</v>
      </c>
      <c r="I71" s="284"/>
      <c r="J71" s="581">
        <f t="shared" si="15"/>
        <v>2736.3110000000001</v>
      </c>
      <c r="K71" s="284"/>
      <c r="L71" s="284"/>
      <c r="M71" s="589">
        <v>51.189</v>
      </c>
      <c r="N71" s="589">
        <f>1996.597+352.288</f>
        <v>2348.8850000000002</v>
      </c>
      <c r="O71" s="589">
        <f>336.237</f>
        <v>336.23700000000002</v>
      </c>
    </row>
    <row r="72" spans="1:15" ht="13.5" thickTop="1" thickBot="1">
      <c r="A72" s="862"/>
      <c r="B72" s="182" t="s">
        <v>178</v>
      </c>
      <c r="C72" s="182" t="s">
        <v>88</v>
      </c>
      <c r="D72" s="324">
        <f t="shared" si="14"/>
        <v>0</v>
      </c>
      <c r="E72" s="324"/>
      <c r="F72" s="324"/>
      <c r="G72" s="324"/>
      <c r="H72" s="324"/>
      <c r="I72" s="324"/>
      <c r="J72" s="196">
        <f t="shared" si="15"/>
        <v>0</v>
      </c>
      <c r="K72" s="196"/>
      <c r="L72" s="196"/>
      <c r="M72" s="265"/>
      <c r="N72" s="265"/>
      <c r="O72" s="196"/>
    </row>
    <row r="73" spans="1:15" ht="13.5" thickTop="1" thickBot="1">
      <c r="A73" s="862"/>
      <c r="B73" s="207"/>
      <c r="C73" s="208" t="s">
        <v>89</v>
      </c>
      <c r="D73" s="326">
        <f t="shared" si="14"/>
        <v>75</v>
      </c>
      <c r="E73" s="327"/>
      <c r="F73" s="327"/>
      <c r="G73" s="602">
        <f>G71-G78</f>
        <v>0</v>
      </c>
      <c r="H73" s="602">
        <f>H71-H78</f>
        <v>75</v>
      </c>
      <c r="I73" s="327"/>
      <c r="J73" s="734">
        <f t="shared" si="15"/>
        <v>-2274.3319999999999</v>
      </c>
      <c r="K73" s="210"/>
      <c r="L73" s="210"/>
      <c r="M73" s="729">
        <f>M71-M78</f>
        <v>-1993.8579999999999</v>
      </c>
      <c r="N73" s="730">
        <f>-N78</f>
        <v>-280.47399999999999</v>
      </c>
      <c r="O73" s="210"/>
    </row>
    <row r="74" spans="1:15" ht="13.5" thickTop="1" thickBot="1">
      <c r="A74" s="862"/>
      <c r="B74" s="207"/>
      <c r="C74" s="208" t="s">
        <v>90</v>
      </c>
      <c r="D74" s="326">
        <f t="shared" si="14"/>
        <v>0</v>
      </c>
      <c r="E74" s="327"/>
      <c r="F74" s="327"/>
      <c r="G74" s="630"/>
      <c r="H74" s="631"/>
      <c r="I74" s="326"/>
      <c r="J74" s="209">
        <f t="shared" si="15"/>
        <v>0</v>
      </c>
      <c r="K74" s="210"/>
      <c r="L74" s="210"/>
      <c r="M74" s="630"/>
      <c r="N74" s="320"/>
      <c r="O74" s="209"/>
    </row>
    <row r="75" spans="1:15" ht="13.5" thickTop="1" thickBot="1">
      <c r="A75" s="862"/>
      <c r="B75" s="207"/>
      <c r="C75" s="208" t="s">
        <v>91</v>
      </c>
      <c r="D75" s="326">
        <f t="shared" si="14"/>
        <v>0</v>
      </c>
      <c r="E75" s="327"/>
      <c r="F75" s="327"/>
      <c r="G75" s="630"/>
      <c r="H75" s="630"/>
      <c r="I75" s="326"/>
      <c r="J75" s="209">
        <f t="shared" si="15"/>
        <v>0</v>
      </c>
      <c r="K75" s="210"/>
      <c r="L75" s="210"/>
      <c r="M75" s="630"/>
      <c r="N75" s="210"/>
      <c r="O75" s="209"/>
    </row>
    <row r="76" spans="1:15" ht="13.5" thickTop="1" thickBot="1">
      <c r="A76" s="862"/>
      <c r="B76" s="182" t="s">
        <v>179</v>
      </c>
      <c r="C76" s="182" t="s">
        <v>93</v>
      </c>
      <c r="D76" s="324">
        <f t="shared" si="14"/>
        <v>0</v>
      </c>
      <c r="E76" s="324"/>
      <c r="F76" s="324"/>
      <c r="G76" s="632"/>
      <c r="H76" s="632"/>
      <c r="I76" s="324"/>
      <c r="J76" s="196">
        <f t="shared" si="15"/>
        <v>0</v>
      </c>
      <c r="K76" s="196"/>
      <c r="L76" s="196"/>
      <c r="M76" s="632"/>
      <c r="N76" s="211"/>
      <c r="O76" s="196"/>
    </row>
    <row r="77" spans="1:15" ht="13.5" thickTop="1" thickBot="1">
      <c r="A77" s="862"/>
      <c r="B77" s="182" t="s">
        <v>180</v>
      </c>
      <c r="C77" s="182" t="s">
        <v>95</v>
      </c>
      <c r="D77" s="330">
        <f t="shared" si="14"/>
        <v>0</v>
      </c>
      <c r="E77" s="380"/>
      <c r="F77" s="326"/>
      <c r="G77" s="602"/>
      <c r="H77" s="602"/>
      <c r="I77" s="324"/>
      <c r="J77" s="431">
        <f t="shared" si="15"/>
        <v>0</v>
      </c>
      <c r="K77" s="383"/>
      <c r="L77" s="209"/>
      <c r="M77" s="602"/>
      <c r="N77" s="320"/>
      <c r="O77" s="196"/>
    </row>
    <row r="78" spans="1:15" ht="13.5" thickTop="1" thickBot="1">
      <c r="A78" s="862"/>
      <c r="B78" s="207"/>
      <c r="C78" s="208" t="s">
        <v>89</v>
      </c>
      <c r="D78" s="326">
        <f t="shared" si="14"/>
        <v>2975</v>
      </c>
      <c r="E78" s="327"/>
      <c r="F78" s="327"/>
      <c r="G78" s="326">
        <f>400+1780</f>
        <v>2180</v>
      </c>
      <c r="H78" s="326">
        <f>344+405+45+1</f>
        <v>795</v>
      </c>
      <c r="I78" s="327"/>
      <c r="J78" s="209">
        <f t="shared" si="15"/>
        <v>2325.5210000000002</v>
      </c>
      <c r="K78" s="210"/>
      <c r="L78" s="210"/>
      <c r="M78" s="631">
        <v>2045.047</v>
      </c>
      <c r="N78" s="209">
        <v>280.47399999999999</v>
      </c>
      <c r="O78" s="210"/>
    </row>
    <row r="79" spans="1:15" ht="13.5" thickTop="1" thickBot="1">
      <c r="A79" s="862"/>
      <c r="B79" s="207"/>
      <c r="C79" s="208" t="s">
        <v>90</v>
      </c>
      <c r="D79" s="326">
        <f t="shared" si="14"/>
        <v>0</v>
      </c>
      <c r="E79" s="327"/>
      <c r="F79" s="327"/>
      <c r="G79" s="327"/>
      <c r="H79" s="326"/>
      <c r="I79" s="326"/>
      <c r="J79" s="209">
        <f t="shared" si="15"/>
        <v>0</v>
      </c>
      <c r="K79" s="210"/>
      <c r="L79" s="210"/>
      <c r="M79" s="210"/>
      <c r="N79" s="209"/>
      <c r="O79" s="209"/>
    </row>
    <row r="80" spans="1:15" ht="13.5" thickTop="1" thickBot="1">
      <c r="A80" s="862"/>
      <c r="B80" s="207"/>
      <c r="C80" s="208" t="s">
        <v>91</v>
      </c>
      <c r="D80" s="326">
        <f t="shared" si="14"/>
        <v>0</v>
      </c>
      <c r="E80" s="327"/>
      <c r="F80" s="327"/>
      <c r="G80" s="327"/>
      <c r="H80" s="327"/>
      <c r="I80" s="326"/>
      <c r="J80" s="209">
        <f t="shared" si="15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324">
        <f t="shared" si="14"/>
        <v>0</v>
      </c>
      <c r="E81" s="324"/>
      <c r="F81" s="324"/>
      <c r="G81" s="324"/>
      <c r="H81" s="323"/>
      <c r="I81" s="324"/>
      <c r="J81" s="196">
        <f t="shared" si="15"/>
        <v>0</v>
      </c>
      <c r="K81" s="196"/>
      <c r="L81" s="196"/>
      <c r="M81" s="196"/>
      <c r="N81" s="185"/>
      <c r="O81" s="196"/>
    </row>
    <row r="82" spans="1:15" ht="13.5" thickTop="1" thickBot="1">
      <c r="A82" s="862"/>
      <c r="B82" s="182" t="s">
        <v>182</v>
      </c>
      <c r="C82" s="182" t="s">
        <v>99</v>
      </c>
      <c r="D82" s="324">
        <f t="shared" si="14"/>
        <v>0</v>
      </c>
      <c r="E82" s="324"/>
      <c r="F82" s="324"/>
      <c r="G82" s="324"/>
      <c r="H82" s="323"/>
      <c r="I82" s="324"/>
      <c r="J82" s="196">
        <f t="shared" si="15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325">
        <f t="shared" si="14"/>
        <v>68240</v>
      </c>
      <c r="E83" s="284"/>
      <c r="F83" s="339">
        <v>68240</v>
      </c>
      <c r="G83" s="284"/>
      <c r="H83" s="284"/>
      <c r="I83" s="284"/>
      <c r="J83" s="206">
        <f t="shared" si="15"/>
        <v>67259.536999999997</v>
      </c>
      <c r="K83" s="284"/>
      <c r="L83" s="339">
        <v>67259.536999999997</v>
      </c>
      <c r="M83" s="214"/>
      <c r="N83" s="214"/>
      <c r="O83" s="214"/>
    </row>
    <row r="84" spans="1:15" ht="13.5" thickTop="1" thickBot="1">
      <c r="A84" s="862"/>
      <c r="B84" s="182" t="s">
        <v>184</v>
      </c>
      <c r="C84" s="182" t="s">
        <v>88</v>
      </c>
      <c r="D84" s="324">
        <f t="shared" si="14"/>
        <v>0</v>
      </c>
      <c r="E84" s="324"/>
      <c r="F84" s="324"/>
      <c r="G84" s="324"/>
      <c r="H84" s="324"/>
      <c r="I84" s="324"/>
      <c r="J84" s="196">
        <f t="shared" si="15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326">
        <f t="shared" si="14"/>
        <v>0</v>
      </c>
      <c r="E85" s="327"/>
      <c r="F85" s="327"/>
      <c r="G85" s="326"/>
      <c r="H85" s="326"/>
      <c r="I85" s="327"/>
      <c r="J85" s="209">
        <f t="shared" si="15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326">
        <f t="shared" si="14"/>
        <v>0</v>
      </c>
      <c r="E86" s="327"/>
      <c r="F86" s="327"/>
      <c r="G86" s="327"/>
      <c r="H86" s="326"/>
      <c r="I86" s="326"/>
      <c r="J86" s="209">
        <f t="shared" si="15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326">
        <f t="shared" si="14"/>
        <v>0</v>
      </c>
      <c r="E87" s="327"/>
      <c r="F87" s="327"/>
      <c r="G87" s="327"/>
      <c r="H87" s="327"/>
      <c r="I87" s="326"/>
      <c r="J87" s="209">
        <f t="shared" si="15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324">
        <f t="shared" si="14"/>
        <v>0</v>
      </c>
      <c r="E88" s="324"/>
      <c r="F88" s="324"/>
      <c r="G88" s="328"/>
      <c r="H88" s="328"/>
      <c r="I88" s="324"/>
      <c r="J88" s="196">
        <f t="shared" si="15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330">
        <f t="shared" si="14"/>
        <v>29345</v>
      </c>
      <c r="E89" s="380"/>
      <c r="F89" s="331">
        <v>29345</v>
      </c>
      <c r="G89" s="326"/>
      <c r="H89" s="326"/>
      <c r="I89" s="324"/>
      <c r="J89" s="431">
        <f t="shared" si="15"/>
        <v>24849</v>
      </c>
      <c r="K89" s="383"/>
      <c r="L89" s="320">
        <v>24849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326">
        <f t="shared" si="14"/>
        <v>0</v>
      </c>
      <c r="E90" s="327"/>
      <c r="F90" s="327"/>
      <c r="G90" s="326"/>
      <c r="H90" s="326"/>
      <c r="I90" s="327"/>
      <c r="J90" s="209">
        <f t="shared" si="15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326">
        <f t="shared" si="14"/>
        <v>0</v>
      </c>
      <c r="E91" s="327"/>
      <c r="F91" s="327"/>
      <c r="G91" s="327"/>
      <c r="H91" s="326"/>
      <c r="I91" s="326"/>
      <c r="J91" s="209">
        <f t="shared" si="15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326">
        <f t="shared" si="14"/>
        <v>0</v>
      </c>
      <c r="E92" s="327"/>
      <c r="F92" s="327"/>
      <c r="G92" s="327"/>
      <c r="H92" s="327"/>
      <c r="I92" s="326"/>
      <c r="J92" s="209">
        <f t="shared" si="15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324">
        <f t="shared" si="14"/>
        <v>0</v>
      </c>
      <c r="E93" s="324"/>
      <c r="F93" s="324"/>
      <c r="G93" s="324"/>
      <c r="H93" s="323"/>
      <c r="I93" s="324"/>
      <c r="J93" s="196">
        <f t="shared" si="15"/>
        <v>0</v>
      </c>
      <c r="K93" s="196"/>
      <c r="L93" s="196"/>
      <c r="M93" s="196"/>
      <c r="N93" s="185"/>
      <c r="O93" s="196"/>
    </row>
    <row r="94" spans="1:15" ht="13.5" thickTop="1" thickBot="1">
      <c r="A94" s="862"/>
      <c r="B94" s="182" t="s">
        <v>188</v>
      </c>
      <c r="C94" s="182" t="s">
        <v>99</v>
      </c>
      <c r="D94" s="324">
        <f t="shared" si="14"/>
        <v>0</v>
      </c>
      <c r="E94" s="324"/>
      <c r="F94" s="324"/>
      <c r="G94" s="324"/>
      <c r="H94" s="323"/>
      <c r="I94" s="324"/>
      <c r="J94" s="196">
        <f t="shared" si="15"/>
        <v>0</v>
      </c>
      <c r="K94" s="196"/>
      <c r="L94" s="196"/>
      <c r="M94" s="196"/>
      <c r="N94" s="196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>
        <f t="shared" ref="D95:D106" si="16">SUM(E95:I95)</f>
        <v>4910</v>
      </c>
      <c r="E95" s="284"/>
      <c r="F95" s="325"/>
      <c r="G95" s="284"/>
      <c r="H95" s="339">
        <v>4910</v>
      </c>
      <c r="I95" s="284"/>
      <c r="J95" s="206">
        <f t="shared" ref="J95:J106" si="17">SUM(K95:O95)</f>
        <v>3545.9450000000002</v>
      </c>
      <c r="K95" s="284"/>
      <c r="L95" s="325"/>
      <c r="M95" s="214"/>
      <c r="N95" s="692">
        <v>3545.9450000000002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6"/>
        <v>0</v>
      </c>
      <c r="E96" s="324"/>
      <c r="F96" s="324"/>
      <c r="G96" s="324"/>
      <c r="H96" s="324"/>
      <c r="I96" s="324"/>
      <c r="J96" s="196">
        <f t="shared" si="17"/>
        <v>0</v>
      </c>
      <c r="K96" s="196"/>
      <c r="L96" s="196"/>
      <c r="M96" s="196"/>
      <c r="N96" s="712"/>
      <c r="O96" s="196"/>
    </row>
    <row r="97" spans="1:15" ht="13.5" thickTop="1" thickBot="1">
      <c r="A97" s="862"/>
      <c r="B97" s="207"/>
      <c r="C97" s="208" t="s">
        <v>89</v>
      </c>
      <c r="D97" s="326">
        <f t="shared" si="16"/>
        <v>1120</v>
      </c>
      <c r="E97" s="327"/>
      <c r="F97" s="327"/>
      <c r="G97" s="326"/>
      <c r="H97" s="339">
        <v>1120</v>
      </c>
      <c r="I97" s="327"/>
      <c r="J97" s="209">
        <f t="shared" si="17"/>
        <v>1038.058</v>
      </c>
      <c r="K97" s="210"/>
      <c r="L97" s="210"/>
      <c r="M97" s="209"/>
      <c r="N97" s="721">
        <v>1038.058</v>
      </c>
      <c r="O97" s="210"/>
    </row>
    <row r="98" spans="1:15" ht="13.5" thickTop="1" thickBot="1">
      <c r="A98" s="862"/>
      <c r="B98" s="207"/>
      <c r="C98" s="208" t="s">
        <v>90</v>
      </c>
      <c r="D98" s="326">
        <f t="shared" si="16"/>
        <v>2530</v>
      </c>
      <c r="E98" s="327"/>
      <c r="F98" s="327"/>
      <c r="G98" s="327"/>
      <c r="H98" s="339">
        <v>2530</v>
      </c>
      <c r="I98" s="326"/>
      <c r="J98" s="209">
        <f t="shared" si="17"/>
        <v>1110.4949999999999</v>
      </c>
      <c r="K98" s="210"/>
      <c r="L98" s="210"/>
      <c r="M98" s="210"/>
      <c r="N98" s="721">
        <v>1110.4949999999999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6"/>
        <v>0</v>
      </c>
      <c r="E99" s="327"/>
      <c r="F99" s="327"/>
      <c r="G99" s="327"/>
      <c r="H99" s="327"/>
      <c r="I99" s="326"/>
      <c r="J99" s="209">
        <f t="shared" si="17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6"/>
        <v>0</v>
      </c>
      <c r="E100" s="324"/>
      <c r="F100" s="324"/>
      <c r="G100" s="328"/>
      <c r="H100" s="328"/>
      <c r="I100" s="324"/>
      <c r="J100" s="463">
        <f t="shared" si="17"/>
        <v>0</v>
      </c>
      <c r="K100" s="196"/>
      <c r="L100" s="196"/>
      <c r="M100" s="211"/>
      <c r="N100" s="339"/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6"/>
        <v>0</v>
      </c>
      <c r="E101" s="380"/>
      <c r="F101" s="331"/>
      <c r="G101" s="326"/>
      <c r="H101" s="326"/>
      <c r="I101" s="324"/>
      <c r="J101" s="213">
        <f t="shared" si="17"/>
        <v>0</v>
      </c>
      <c r="K101" s="383"/>
      <c r="L101" s="320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6"/>
        <v>0</v>
      </c>
      <c r="E102" s="327"/>
      <c r="F102" s="327"/>
      <c r="G102" s="326"/>
      <c r="H102" s="326"/>
      <c r="I102" s="327"/>
      <c r="J102" s="209">
        <f t="shared" si="17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6"/>
        <v>0</v>
      </c>
      <c r="E103" s="327"/>
      <c r="F103" s="327"/>
      <c r="G103" s="327"/>
      <c r="H103" s="326"/>
      <c r="I103" s="326"/>
      <c r="J103" s="209">
        <f t="shared" si="17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6"/>
        <v>0</v>
      </c>
      <c r="E104" s="327"/>
      <c r="F104" s="327"/>
      <c r="G104" s="327"/>
      <c r="H104" s="327"/>
      <c r="I104" s="326"/>
      <c r="J104" s="209">
        <f t="shared" si="17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6"/>
        <v>0</v>
      </c>
      <c r="E105" s="324"/>
      <c r="F105" s="324"/>
      <c r="G105" s="324"/>
      <c r="H105" s="324"/>
      <c r="I105" s="324"/>
      <c r="J105" s="196">
        <f t="shared" si="17"/>
        <v>0</v>
      </c>
      <c r="K105" s="196"/>
      <c r="L105" s="196"/>
      <c r="M105" s="196"/>
      <c r="N105" s="185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6"/>
        <v>0</v>
      </c>
      <c r="E106" s="324"/>
      <c r="F106" s="324"/>
      <c r="G106" s="324"/>
      <c r="H106" s="323"/>
      <c r="I106" s="324"/>
      <c r="J106" s="196">
        <f t="shared" si="17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>
        <f t="shared" ref="D107:D130" si="18">SUM(E107:I107)</f>
        <v>0</v>
      </c>
      <c r="E107" s="284"/>
      <c r="F107" s="325"/>
      <c r="G107" s="284"/>
      <c r="H107" s="339"/>
      <c r="I107" s="284"/>
      <c r="J107" s="206">
        <f t="shared" ref="J107:J130" si="19">SUM(K107:O107)</f>
        <v>712.58500000000004</v>
      </c>
      <c r="K107" s="284"/>
      <c r="L107" s="325"/>
      <c r="M107" s="214"/>
      <c r="N107" s="589">
        <v>712.58500000000004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8"/>
        <v>0</v>
      </c>
      <c r="E108" s="324"/>
      <c r="F108" s="324"/>
      <c r="G108" s="324"/>
      <c r="H108" s="324"/>
      <c r="I108" s="324"/>
      <c r="J108" s="196">
        <f t="shared" si="19"/>
        <v>0</v>
      </c>
      <c r="K108" s="196"/>
      <c r="L108" s="196"/>
      <c r="M108" s="196"/>
      <c r="N108" s="463"/>
      <c r="O108" s="196"/>
    </row>
    <row r="109" spans="1:15" ht="13.5" thickTop="1" thickBot="1">
      <c r="A109" s="862"/>
      <c r="B109" s="207"/>
      <c r="C109" s="208" t="s">
        <v>89</v>
      </c>
      <c r="D109" s="326">
        <f t="shared" si="18"/>
        <v>0</v>
      </c>
      <c r="E109" s="327"/>
      <c r="F109" s="327"/>
      <c r="G109" s="326"/>
      <c r="H109" s="339"/>
      <c r="I109" s="327"/>
      <c r="J109" s="209">
        <f t="shared" si="19"/>
        <v>712.58500000000004</v>
      </c>
      <c r="K109" s="210"/>
      <c r="L109" s="210"/>
      <c r="M109" s="209"/>
      <c r="N109" s="589">
        <v>712.58500000000004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8"/>
        <v>0</v>
      </c>
      <c r="E110" s="327"/>
      <c r="F110" s="327"/>
      <c r="G110" s="327"/>
      <c r="H110" s="339"/>
      <c r="I110" s="326"/>
      <c r="J110" s="209">
        <f t="shared" si="19"/>
        <v>0</v>
      </c>
      <c r="K110" s="210"/>
      <c r="L110" s="210"/>
      <c r="M110" s="210"/>
      <c r="N110" s="721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8"/>
        <v>0</v>
      </c>
      <c r="E111" s="327"/>
      <c r="F111" s="327"/>
      <c r="G111" s="327"/>
      <c r="H111" s="327"/>
      <c r="I111" s="326"/>
      <c r="J111" s="209">
        <f t="shared" si="19"/>
        <v>0</v>
      </c>
      <c r="K111" s="210"/>
      <c r="L111" s="210"/>
      <c r="M111" s="210"/>
      <c r="N111" s="382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8"/>
        <v>0</v>
      </c>
      <c r="E112" s="324"/>
      <c r="F112" s="324"/>
      <c r="G112" s="328"/>
      <c r="H112" s="328"/>
      <c r="I112" s="324"/>
      <c r="J112" s="196">
        <f t="shared" si="19"/>
        <v>0</v>
      </c>
      <c r="K112" s="196"/>
      <c r="L112" s="196"/>
      <c r="M112" s="211"/>
      <c r="N112" s="722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8"/>
        <v>0</v>
      </c>
      <c r="E113" s="380"/>
      <c r="F113" s="331"/>
      <c r="G113" s="326"/>
      <c r="H113" s="326"/>
      <c r="I113" s="324"/>
      <c r="J113" s="213">
        <f t="shared" si="19"/>
        <v>0</v>
      </c>
      <c r="K113" s="383"/>
      <c r="L113" s="320"/>
      <c r="M113" s="209"/>
      <c r="N113" s="381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8"/>
        <v>0</v>
      </c>
      <c r="E114" s="327"/>
      <c r="F114" s="327"/>
      <c r="G114" s="326"/>
      <c r="H114" s="326"/>
      <c r="I114" s="327"/>
      <c r="J114" s="209">
        <f t="shared" si="19"/>
        <v>0</v>
      </c>
      <c r="K114" s="210"/>
      <c r="L114" s="210"/>
      <c r="M114" s="209"/>
      <c r="N114" s="381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8"/>
        <v>0</v>
      </c>
      <c r="E115" s="327"/>
      <c r="F115" s="327"/>
      <c r="G115" s="327"/>
      <c r="H115" s="326"/>
      <c r="I115" s="326"/>
      <c r="J115" s="209">
        <f t="shared" si="19"/>
        <v>0</v>
      </c>
      <c r="K115" s="210"/>
      <c r="L115" s="210"/>
      <c r="M115" s="210"/>
      <c r="N115" s="381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8"/>
        <v>0</v>
      </c>
      <c r="E116" s="327"/>
      <c r="F116" s="327"/>
      <c r="G116" s="327"/>
      <c r="H116" s="327"/>
      <c r="I116" s="326"/>
      <c r="J116" s="209">
        <f t="shared" si="19"/>
        <v>0</v>
      </c>
      <c r="K116" s="210"/>
      <c r="L116" s="210"/>
      <c r="M116" s="210"/>
      <c r="N116" s="382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8"/>
        <v>0</v>
      </c>
      <c r="E117" s="324"/>
      <c r="F117" s="324"/>
      <c r="G117" s="324"/>
      <c r="H117" s="324"/>
      <c r="I117" s="324"/>
      <c r="J117" s="196">
        <f t="shared" si="19"/>
        <v>0</v>
      </c>
      <c r="K117" s="196"/>
      <c r="L117" s="196"/>
      <c r="M117" s="196"/>
      <c r="N117" s="723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8"/>
        <v>0</v>
      </c>
      <c r="E118" s="324"/>
      <c r="F118" s="324"/>
      <c r="G118" s="324"/>
      <c r="H118" s="323"/>
      <c r="I118" s="324"/>
      <c r="J118" s="196">
        <f t="shared" si="19"/>
        <v>0</v>
      </c>
      <c r="K118" s="196"/>
      <c r="L118" s="196"/>
      <c r="M118" s="196"/>
      <c r="N118" s="463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>
        <f t="shared" si="18"/>
        <v>0</v>
      </c>
      <c r="E119" s="284"/>
      <c r="F119" s="325"/>
      <c r="G119" s="284"/>
      <c r="H119" s="339"/>
      <c r="I119" s="284"/>
      <c r="J119" s="206">
        <f t="shared" si="19"/>
        <v>394.08</v>
      </c>
      <c r="K119" s="284"/>
      <c r="L119" s="325"/>
      <c r="M119" s="214"/>
      <c r="N119" s="589">
        <v>394.08</v>
      </c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18"/>
        <v>0</v>
      </c>
      <c r="E120" s="324"/>
      <c r="F120" s="324"/>
      <c r="G120" s="324"/>
      <c r="H120" s="324"/>
      <c r="I120" s="324"/>
      <c r="J120" s="196">
        <f t="shared" si="19"/>
        <v>0</v>
      </c>
      <c r="K120" s="196"/>
      <c r="L120" s="196"/>
      <c r="M120" s="196"/>
      <c r="N120" s="463"/>
      <c r="O120" s="196"/>
    </row>
    <row r="121" spans="1:15" ht="13.5" thickTop="1" thickBot="1">
      <c r="A121" s="862"/>
      <c r="B121" s="207"/>
      <c r="C121" s="208" t="s">
        <v>89</v>
      </c>
      <c r="D121" s="326">
        <f t="shared" si="18"/>
        <v>0</v>
      </c>
      <c r="E121" s="327"/>
      <c r="F121" s="327"/>
      <c r="G121" s="326"/>
      <c r="H121" s="339"/>
      <c r="I121" s="327"/>
      <c r="J121" s="209">
        <f t="shared" si="19"/>
        <v>394.08</v>
      </c>
      <c r="K121" s="210"/>
      <c r="L121" s="210"/>
      <c r="M121" s="209"/>
      <c r="N121" s="589">
        <v>394.08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18"/>
        <v>0</v>
      </c>
      <c r="E122" s="327"/>
      <c r="F122" s="327"/>
      <c r="G122" s="327"/>
      <c r="H122" s="339"/>
      <c r="I122" s="326"/>
      <c r="J122" s="209">
        <f t="shared" si="19"/>
        <v>0</v>
      </c>
      <c r="K122" s="210"/>
      <c r="L122" s="210"/>
      <c r="M122" s="210"/>
      <c r="N122" s="721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18"/>
        <v>0</v>
      </c>
      <c r="E123" s="327"/>
      <c r="F123" s="327"/>
      <c r="G123" s="327"/>
      <c r="H123" s="327"/>
      <c r="I123" s="326"/>
      <c r="J123" s="209">
        <f t="shared" si="19"/>
        <v>0</v>
      </c>
      <c r="K123" s="210"/>
      <c r="L123" s="210"/>
      <c r="M123" s="210"/>
      <c r="N123" s="382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18"/>
        <v>0</v>
      </c>
      <c r="E124" s="324"/>
      <c r="F124" s="324"/>
      <c r="G124" s="328"/>
      <c r="H124" s="328"/>
      <c r="I124" s="324"/>
      <c r="J124" s="196">
        <f t="shared" si="19"/>
        <v>0</v>
      </c>
      <c r="K124" s="196"/>
      <c r="L124" s="196"/>
      <c r="M124" s="211"/>
      <c r="N124" s="722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18"/>
        <v>0</v>
      </c>
      <c r="E125" s="380"/>
      <c r="F125" s="331"/>
      <c r="G125" s="326"/>
      <c r="H125" s="326"/>
      <c r="I125" s="324"/>
      <c r="J125" s="213">
        <f t="shared" si="19"/>
        <v>0</v>
      </c>
      <c r="K125" s="383"/>
      <c r="L125" s="320"/>
      <c r="M125" s="209"/>
      <c r="N125" s="381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18"/>
        <v>0</v>
      </c>
      <c r="E126" s="327"/>
      <c r="F126" s="327"/>
      <c r="G126" s="326"/>
      <c r="H126" s="326"/>
      <c r="I126" s="327"/>
      <c r="J126" s="209">
        <f t="shared" si="19"/>
        <v>0</v>
      </c>
      <c r="K126" s="210"/>
      <c r="L126" s="210"/>
      <c r="M126" s="209"/>
      <c r="N126" s="381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18"/>
        <v>0</v>
      </c>
      <c r="E127" s="327"/>
      <c r="F127" s="327"/>
      <c r="G127" s="327"/>
      <c r="H127" s="326"/>
      <c r="I127" s="326"/>
      <c r="J127" s="209">
        <f t="shared" si="19"/>
        <v>0</v>
      </c>
      <c r="K127" s="210"/>
      <c r="L127" s="210"/>
      <c r="M127" s="210"/>
      <c r="N127" s="381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18"/>
        <v>0</v>
      </c>
      <c r="E128" s="327"/>
      <c r="F128" s="327"/>
      <c r="G128" s="327"/>
      <c r="H128" s="327"/>
      <c r="I128" s="326"/>
      <c r="J128" s="209">
        <f t="shared" si="19"/>
        <v>0</v>
      </c>
      <c r="K128" s="210"/>
      <c r="L128" s="210"/>
      <c r="M128" s="210"/>
      <c r="N128" s="382"/>
      <c r="O128" s="209"/>
    </row>
    <row r="129" spans="1:15" ht="13.5" thickTop="1" thickBot="1">
      <c r="A129" s="862"/>
      <c r="B129" s="182" t="s">
        <v>246</v>
      </c>
      <c r="C129" s="182" t="s">
        <v>97</v>
      </c>
      <c r="D129" s="324">
        <f t="shared" si="18"/>
        <v>0</v>
      </c>
      <c r="E129" s="324"/>
      <c r="F129" s="324"/>
      <c r="G129" s="324"/>
      <c r="H129" s="324"/>
      <c r="I129" s="324"/>
      <c r="J129" s="196">
        <f t="shared" si="19"/>
        <v>0</v>
      </c>
      <c r="K129" s="196"/>
      <c r="L129" s="196"/>
      <c r="M129" s="196"/>
      <c r="N129" s="723"/>
      <c r="O129" s="196"/>
    </row>
    <row r="130" spans="1:15" ht="13.5" thickTop="1" thickBot="1">
      <c r="A130" s="862"/>
      <c r="B130" s="182" t="s">
        <v>247</v>
      </c>
      <c r="C130" s="182" t="s">
        <v>99</v>
      </c>
      <c r="D130" s="324">
        <f t="shared" si="18"/>
        <v>0</v>
      </c>
      <c r="E130" s="324"/>
      <c r="F130" s="324"/>
      <c r="G130" s="324"/>
      <c r="H130" s="323"/>
      <c r="I130" s="324"/>
      <c r="J130" s="196">
        <f t="shared" si="19"/>
        <v>0</v>
      </c>
      <c r="K130" s="196"/>
      <c r="L130" s="196"/>
      <c r="M130" s="196"/>
      <c r="N130" s="463"/>
      <c r="O130" s="196"/>
    </row>
    <row r="131" spans="1:15" ht="13.5" thickTop="1" thickBot="1">
      <c r="A131" s="862"/>
      <c r="B131" s="204" t="s">
        <v>250</v>
      </c>
      <c r="C131" s="595" t="s">
        <v>249</v>
      </c>
      <c r="D131" s="325">
        <f t="shared" ref="D131:D142" si="20">SUM(E131:I131)</f>
        <v>0</v>
      </c>
      <c r="E131" s="284"/>
      <c r="F131" s="325"/>
      <c r="G131" s="284"/>
      <c r="H131" s="339"/>
      <c r="I131" s="339"/>
      <c r="J131" s="581">
        <f t="shared" ref="J131:J142" si="21">SUM(K131:O131)</f>
        <v>93.933999999999997</v>
      </c>
      <c r="K131" s="284"/>
      <c r="L131" s="325"/>
      <c r="M131" s="214"/>
      <c r="N131" s="589">
        <v>67.414000000000001</v>
      </c>
      <c r="O131" s="339">
        <v>26.52</v>
      </c>
    </row>
    <row r="132" spans="1:15" ht="13.5" thickTop="1" thickBot="1">
      <c r="A132" s="862"/>
      <c r="B132" s="182" t="s">
        <v>251</v>
      </c>
      <c r="C132" s="182" t="s">
        <v>88</v>
      </c>
      <c r="D132" s="324">
        <f t="shared" si="20"/>
        <v>0</v>
      </c>
      <c r="E132" s="324"/>
      <c r="F132" s="324"/>
      <c r="G132" s="324"/>
      <c r="H132" s="324"/>
      <c r="I132" s="324"/>
      <c r="J132" s="196">
        <f t="shared" si="21"/>
        <v>0</v>
      </c>
      <c r="K132" s="196"/>
      <c r="L132" s="196"/>
      <c r="M132" s="196"/>
      <c r="N132" s="196"/>
      <c r="O132" s="196"/>
    </row>
    <row r="133" spans="1:15" ht="13.5" thickTop="1" thickBot="1">
      <c r="A133" s="862"/>
      <c r="B133" s="207"/>
      <c r="C133" s="208" t="s">
        <v>89</v>
      </c>
      <c r="D133" s="326">
        <f t="shared" si="20"/>
        <v>0</v>
      </c>
      <c r="E133" s="327"/>
      <c r="F133" s="327"/>
      <c r="G133" s="326"/>
      <c r="H133" s="339"/>
      <c r="I133" s="327"/>
      <c r="J133" s="209">
        <f t="shared" si="21"/>
        <v>0</v>
      </c>
      <c r="K133" s="210"/>
      <c r="L133" s="210"/>
      <c r="M133" s="209"/>
      <c r="N133" s="339"/>
      <c r="O133" s="210"/>
    </row>
    <row r="134" spans="1:15" ht="13.5" thickTop="1" thickBot="1">
      <c r="A134" s="862"/>
      <c r="B134" s="207"/>
      <c r="C134" s="208" t="s">
        <v>90</v>
      </c>
      <c r="D134" s="326">
        <f t="shared" si="20"/>
        <v>0</v>
      </c>
      <c r="E134" s="327"/>
      <c r="F134" s="327"/>
      <c r="G134" s="327"/>
      <c r="H134" s="339"/>
      <c r="I134" s="326"/>
      <c r="J134" s="209">
        <f t="shared" si="21"/>
        <v>0</v>
      </c>
      <c r="K134" s="210"/>
      <c r="L134" s="210"/>
      <c r="M134" s="210"/>
      <c r="N134" s="699"/>
      <c r="O134" s="209"/>
    </row>
    <row r="135" spans="1:15" ht="13.5" thickTop="1" thickBot="1">
      <c r="A135" s="862"/>
      <c r="B135" s="207"/>
      <c r="C135" s="208" t="s">
        <v>91</v>
      </c>
      <c r="D135" s="326">
        <f t="shared" si="20"/>
        <v>0</v>
      </c>
      <c r="E135" s="327"/>
      <c r="F135" s="327"/>
      <c r="G135" s="327"/>
      <c r="H135" s="327"/>
      <c r="I135" s="326"/>
      <c r="J135" s="209">
        <f t="shared" si="21"/>
        <v>0</v>
      </c>
      <c r="K135" s="210"/>
      <c r="L135" s="210"/>
      <c r="M135" s="210"/>
      <c r="N135" s="210"/>
      <c r="O135" s="209"/>
    </row>
    <row r="136" spans="1:15" ht="13.5" thickTop="1" thickBot="1">
      <c r="A136" s="862"/>
      <c r="B136" s="182" t="s">
        <v>252</v>
      </c>
      <c r="C136" s="182" t="s">
        <v>93</v>
      </c>
      <c r="D136" s="324">
        <f t="shared" si="20"/>
        <v>0</v>
      </c>
      <c r="E136" s="324"/>
      <c r="F136" s="324"/>
      <c r="G136" s="328"/>
      <c r="H136" s="328"/>
      <c r="I136" s="324"/>
      <c r="J136" s="196">
        <f t="shared" si="21"/>
        <v>0</v>
      </c>
      <c r="K136" s="196"/>
      <c r="L136" s="196"/>
      <c r="M136" s="211"/>
      <c r="N136" s="211"/>
      <c r="O136" s="196"/>
    </row>
    <row r="137" spans="1:15" ht="13.5" thickTop="1" thickBot="1">
      <c r="A137" s="862"/>
      <c r="B137" s="182" t="s">
        <v>253</v>
      </c>
      <c r="C137" s="182" t="s">
        <v>95</v>
      </c>
      <c r="D137" s="330">
        <f t="shared" si="20"/>
        <v>0</v>
      </c>
      <c r="E137" s="380"/>
      <c r="F137" s="331"/>
      <c r="G137" s="326"/>
      <c r="H137" s="326"/>
      <c r="I137" s="324"/>
      <c r="J137" s="213">
        <f t="shared" si="21"/>
        <v>0</v>
      </c>
      <c r="K137" s="383"/>
      <c r="L137" s="320"/>
      <c r="M137" s="209"/>
      <c r="N137" s="209"/>
      <c r="O137" s="196"/>
    </row>
    <row r="138" spans="1:15" ht="13.5" thickTop="1" thickBot="1">
      <c r="A138" s="862"/>
      <c r="B138" s="207"/>
      <c r="C138" s="208" t="s">
        <v>89</v>
      </c>
      <c r="D138" s="326">
        <f t="shared" si="20"/>
        <v>0</v>
      </c>
      <c r="E138" s="327"/>
      <c r="F138" s="327"/>
      <c r="G138" s="326"/>
      <c r="H138" s="326"/>
      <c r="I138" s="327"/>
      <c r="J138" s="209">
        <f t="shared" si="21"/>
        <v>0</v>
      </c>
      <c r="K138" s="210"/>
      <c r="L138" s="210"/>
      <c r="M138" s="209"/>
      <c r="N138" s="209"/>
      <c r="O138" s="210"/>
    </row>
    <row r="139" spans="1:15" ht="13.5" thickTop="1" thickBot="1">
      <c r="A139" s="862"/>
      <c r="B139" s="207"/>
      <c r="C139" s="208" t="s">
        <v>90</v>
      </c>
      <c r="D139" s="326">
        <f t="shared" si="20"/>
        <v>0</v>
      </c>
      <c r="E139" s="327"/>
      <c r="F139" s="327"/>
      <c r="G139" s="327"/>
      <c r="H139" s="326"/>
      <c r="I139" s="326"/>
      <c r="J139" s="209">
        <f t="shared" si="21"/>
        <v>0</v>
      </c>
      <c r="K139" s="210"/>
      <c r="L139" s="210"/>
      <c r="M139" s="210"/>
      <c r="N139" s="209"/>
      <c r="O139" s="209"/>
    </row>
    <row r="140" spans="1:15" ht="13.5" thickTop="1" thickBot="1">
      <c r="A140" s="862"/>
      <c r="B140" s="207"/>
      <c r="C140" s="208" t="s">
        <v>91</v>
      </c>
      <c r="D140" s="326">
        <f t="shared" si="20"/>
        <v>0</v>
      </c>
      <c r="E140" s="327"/>
      <c r="F140" s="327"/>
      <c r="G140" s="327"/>
      <c r="H140" s="327"/>
      <c r="I140" s="326"/>
      <c r="J140" s="209">
        <f t="shared" si="21"/>
        <v>0</v>
      </c>
      <c r="K140" s="210"/>
      <c r="L140" s="210"/>
      <c r="M140" s="210"/>
      <c r="N140" s="210"/>
      <c r="O140" s="209"/>
    </row>
    <row r="141" spans="1:15" ht="13.5" thickTop="1" thickBot="1">
      <c r="A141" s="862"/>
      <c r="B141" s="182" t="s">
        <v>254</v>
      </c>
      <c r="C141" s="182" t="s">
        <v>97</v>
      </c>
      <c r="D141" s="324">
        <f t="shared" si="20"/>
        <v>0</v>
      </c>
      <c r="E141" s="324"/>
      <c r="F141" s="324"/>
      <c r="G141" s="324"/>
      <c r="H141" s="324"/>
      <c r="I141" s="324"/>
      <c r="J141" s="196">
        <f t="shared" si="21"/>
        <v>0</v>
      </c>
      <c r="K141" s="196"/>
      <c r="L141" s="196"/>
      <c r="M141" s="196"/>
      <c r="N141" s="185"/>
      <c r="O141" s="196"/>
    </row>
    <row r="142" spans="1:15" ht="13.5" thickTop="1" thickBot="1">
      <c r="A142" s="862"/>
      <c r="B142" s="182" t="s">
        <v>255</v>
      </c>
      <c r="C142" s="182" t="s">
        <v>99</v>
      </c>
      <c r="D142" s="324">
        <f t="shared" si="20"/>
        <v>0</v>
      </c>
      <c r="E142" s="324"/>
      <c r="F142" s="324"/>
      <c r="G142" s="324"/>
      <c r="H142" s="323"/>
      <c r="I142" s="324"/>
      <c r="J142" s="196">
        <f t="shared" si="21"/>
        <v>0</v>
      </c>
      <c r="K142" s="196"/>
      <c r="L142" s="196"/>
      <c r="M142" s="196"/>
      <c r="N142" s="196"/>
      <c r="O142" s="196"/>
    </row>
    <row r="143" spans="1:15" ht="12.75" customHeight="1" thickTop="1" thickBot="1">
      <c r="A143" s="862"/>
      <c r="B143" s="257" t="s">
        <v>100</v>
      </c>
      <c r="C143" s="257" t="s">
        <v>101</v>
      </c>
      <c r="D143" s="285">
        <f>SUM(E143:I143)</f>
        <v>306551.59999999998</v>
      </c>
      <c r="E143" s="386">
        <f>SUM(E144:E147)</f>
        <v>0</v>
      </c>
      <c r="F143" s="386">
        <f>SUM(F144:F147)</f>
        <v>91120</v>
      </c>
      <c r="G143" s="386">
        <f>SUM(G144:G147)</f>
        <v>5089.3999999999996</v>
      </c>
      <c r="H143" s="386">
        <f>SUM(H144:H147)</f>
        <v>72217</v>
      </c>
      <c r="I143" s="261">
        <f>SUM(I144:I147)</f>
        <v>138125.20000000001</v>
      </c>
      <c r="J143" s="285">
        <f>SUM(K143:O143)</f>
        <v>253277.73700000005</v>
      </c>
      <c r="K143" s="386">
        <f>SUM(K144:K147)</f>
        <v>0</v>
      </c>
      <c r="L143" s="618">
        <f>SUM(L144:L147)</f>
        <v>89935.562000000005</v>
      </c>
      <c r="M143" s="618">
        <f>SUM(M144:M147)</f>
        <v>2023.9280000000001</v>
      </c>
      <c r="N143" s="618">
        <f>SUM(N144:N147)</f>
        <v>67154.926000000007</v>
      </c>
      <c r="O143" s="617">
        <f>SUM(O144:O147)</f>
        <v>94163.321000000025</v>
      </c>
    </row>
    <row r="144" spans="1:15" ht="12.75" customHeight="1" thickTop="1" thickBot="1">
      <c r="A144" s="862"/>
      <c r="B144" s="249" t="s">
        <v>102</v>
      </c>
      <c r="C144" s="250" t="s">
        <v>103</v>
      </c>
      <c r="D144" s="358">
        <f>SUM(E144:I144)</f>
        <v>96376.41158</v>
      </c>
      <c r="E144" s="252"/>
      <c r="F144" s="287"/>
      <c r="G144" s="287"/>
      <c r="H144" s="287"/>
      <c r="I144" s="288">
        <v>96376.41158</v>
      </c>
      <c r="J144" s="358">
        <f>SUM(K144:O144)</f>
        <v>66355.076000000001</v>
      </c>
      <c r="K144" s="252"/>
      <c r="L144" s="287"/>
      <c r="M144" s="287"/>
      <c r="N144" s="287"/>
      <c r="O144" s="616">
        <v>66355.076000000001</v>
      </c>
    </row>
    <row r="145" spans="1:16" ht="12.75" customHeight="1" thickTop="1" thickBot="1">
      <c r="A145" s="862"/>
      <c r="B145" s="249" t="s">
        <v>104</v>
      </c>
      <c r="C145" s="250" t="s">
        <v>206</v>
      </c>
      <c r="D145" s="358">
        <f>SUM(E145:I145)</f>
        <v>0</v>
      </c>
      <c r="E145" s="252"/>
      <c r="F145" s="287"/>
      <c r="G145" s="287"/>
      <c r="H145" s="287"/>
      <c r="I145" s="288"/>
      <c r="J145" s="358">
        <f>SUM(K145:O145)</f>
        <v>0</v>
      </c>
      <c r="K145" s="252"/>
      <c r="L145" s="287"/>
      <c r="M145" s="287"/>
      <c r="N145" s="287"/>
      <c r="O145" s="616"/>
    </row>
    <row r="146" spans="1:16" ht="12.75" customHeight="1" thickTop="1" thickBot="1">
      <c r="A146" s="862"/>
      <c r="B146" s="249" t="s">
        <v>106</v>
      </c>
      <c r="C146" s="250" t="s">
        <v>105</v>
      </c>
      <c r="D146" s="358">
        <f>SUM(E146:I146)</f>
        <v>210175.18842000002</v>
      </c>
      <c r="E146" s="289"/>
      <c r="F146" s="290">
        <v>91120</v>
      </c>
      <c r="G146" s="290">
        <v>5089.3999999999996</v>
      </c>
      <c r="H146" s="290">
        <v>72217</v>
      </c>
      <c r="I146" s="290">
        <v>41748.788420000012</v>
      </c>
      <c r="J146" s="358">
        <f>SUM(K146:O146)</f>
        <v>166945.85600000003</v>
      </c>
      <c r="K146" s="289"/>
      <c r="L146" s="290">
        <v>88213.964000000007</v>
      </c>
      <c r="M146" s="290">
        <v>1821.3680000000002</v>
      </c>
      <c r="N146" s="236">
        <v>53579.822000000007</v>
      </c>
      <c r="O146" s="290">
        <v>23330.702000000012</v>
      </c>
      <c r="P146" s="321"/>
    </row>
    <row r="147" spans="1:16" ht="12.75" customHeight="1" thickTop="1" thickBot="1">
      <c r="A147" s="862"/>
      <c r="B147" s="249" t="s">
        <v>207</v>
      </c>
      <c r="C147" s="250" t="s">
        <v>107</v>
      </c>
      <c r="D147" s="358">
        <f>SUM(E147:I147)</f>
        <v>0</v>
      </c>
      <c r="E147" s="289"/>
      <c r="F147" s="290"/>
      <c r="G147" s="290"/>
      <c r="H147" s="290"/>
      <c r="I147" s="290"/>
      <c r="J147" s="604">
        <f>SUM(K147:O147)</f>
        <v>19976.805</v>
      </c>
      <c r="K147" s="289"/>
      <c r="L147" s="290">
        <v>1721.598</v>
      </c>
      <c r="M147" s="290">
        <v>202.56</v>
      </c>
      <c r="N147" s="290">
        <v>13575.103999999999</v>
      </c>
      <c r="O147" s="290">
        <v>4477.5429999999997</v>
      </c>
      <c r="P147" s="321"/>
    </row>
    <row r="148" spans="1:16" ht="12.75" customHeight="1" thickTop="1" thickBot="1">
      <c r="A148" s="862"/>
      <c r="B148" s="249" t="s">
        <v>108</v>
      </c>
      <c r="C148" s="249" t="s">
        <v>208</v>
      </c>
      <c r="D148" s="291">
        <f>D150/1.18/D143</f>
        <v>1.2972254557505631</v>
      </c>
      <c r="E148" s="596">
        <v>0.74472999999999989</v>
      </c>
      <c r="F148" s="596">
        <v>0.74472999999999989</v>
      </c>
      <c r="G148" s="596">
        <v>0.96691000000000005</v>
      </c>
      <c r="H148" s="596">
        <v>1.55636</v>
      </c>
      <c r="I148" s="596">
        <v>2.2020699999999995</v>
      </c>
      <c r="J148" s="291">
        <f>J150/1.18/J143</f>
        <v>1.2770598615621709</v>
      </c>
      <c r="K148" s="596">
        <v>0.74247920527810796</v>
      </c>
      <c r="L148" s="596">
        <v>0.74247920527810796</v>
      </c>
      <c r="M148" s="596">
        <v>0.92039080935685458</v>
      </c>
      <c r="N148" s="596">
        <v>1.5503440985103605</v>
      </c>
      <c r="O148" s="596">
        <v>2.2114574030112291</v>
      </c>
    </row>
    <row r="149" spans="1:16" ht="12.75" customHeight="1" thickTop="1" thickBot="1">
      <c r="A149" s="862"/>
      <c r="B149" s="249" t="s">
        <v>205</v>
      </c>
      <c r="C149" s="249" t="s">
        <v>208</v>
      </c>
      <c r="D149" s="291"/>
      <c r="E149" s="289"/>
      <c r="F149" s="290"/>
      <c r="G149" s="290"/>
      <c r="H149" s="290"/>
      <c r="I149" s="598">
        <v>1.38056</v>
      </c>
      <c r="J149" s="291"/>
      <c r="K149" s="289"/>
      <c r="L149" s="290"/>
      <c r="M149" s="290"/>
      <c r="N149" s="290"/>
      <c r="O149" s="598">
        <v>1.5402699886893354</v>
      </c>
      <c r="P149" s="321"/>
    </row>
    <row r="150" spans="1:16" ht="12.75" customHeight="1" thickTop="1" thickBot="1">
      <c r="A150" s="862"/>
      <c r="B150" s="249" t="s">
        <v>109</v>
      </c>
      <c r="C150" s="292" t="s">
        <v>110</v>
      </c>
      <c r="D150" s="285">
        <f>SUM(E150:I150)</f>
        <v>469246.51604485582</v>
      </c>
      <c r="E150" s="597">
        <f>E143*E148*1.18</f>
        <v>0</v>
      </c>
      <c r="F150" s="597">
        <f>(F143*F148-F195)*1.18</f>
        <v>65328.014154977071</v>
      </c>
      <c r="G150" s="597">
        <f>G143*G148*1.18</f>
        <v>5806.7702697199993</v>
      </c>
      <c r="H150" s="597">
        <f>H143*H148*1.18</f>
        <v>132626.86714159997</v>
      </c>
      <c r="I150" s="597">
        <f>(I148*I146+I147*I148+I149*I144+I149*I145)*1.18</f>
        <v>265484.86447855877</v>
      </c>
      <c r="J150" s="285">
        <f>SUM(K150:O150)</f>
        <v>381671.98146499996</v>
      </c>
      <c r="K150" s="261">
        <f>K143*K148*1.18</f>
        <v>0</v>
      </c>
      <c r="L150" s="285">
        <f>(L143*L148-L195)*1.18</f>
        <v>63452.496808400007</v>
      </c>
      <c r="M150" s="261">
        <f>M143*M148*1.18</f>
        <v>2198.1095814</v>
      </c>
      <c r="N150" s="261">
        <f>N143*N148*1.18</f>
        <v>122853.62698779997</v>
      </c>
      <c r="O150" s="597">
        <f>(O148*O146+O147*O148+O149*O144+O149*O145)*1.18</f>
        <v>193167.74808740002</v>
      </c>
      <c r="P150" s="321"/>
    </row>
    <row r="151" spans="1:16" ht="12.75" customHeight="1" thickTop="1" thickBot="1">
      <c r="A151" s="863" t="s">
        <v>111</v>
      </c>
      <c r="B151" s="220" t="s">
        <v>112</v>
      </c>
      <c r="C151" s="221" t="s">
        <v>113</v>
      </c>
      <c r="D151" s="379">
        <f>SUM(E151:I151)</f>
        <v>44050</v>
      </c>
      <c r="E151" s="222">
        <f>E44-E34-E46</f>
        <v>0</v>
      </c>
      <c r="F151" s="222">
        <f t="shared" ref="F151:I151" si="22">F44-F34-F46</f>
        <v>5500</v>
      </c>
      <c r="G151" s="222">
        <f t="shared" si="22"/>
        <v>4000</v>
      </c>
      <c r="H151" s="222">
        <f t="shared" si="22"/>
        <v>10200</v>
      </c>
      <c r="I151" s="222">
        <f t="shared" si="22"/>
        <v>24350</v>
      </c>
      <c r="J151" s="379">
        <f>SUM(K151:O151)</f>
        <v>60619.339999999989</v>
      </c>
      <c r="K151" s="222">
        <f>K44-K34-K46</f>
        <v>0</v>
      </c>
      <c r="L151" s="613">
        <f>L44-L34-L46</f>
        <v>5013.1559999999881</v>
      </c>
      <c r="M151" s="613">
        <f>M44-M34-M46</f>
        <v>1432.3299999999967</v>
      </c>
      <c r="N151" s="613">
        <f>N44-N34-N46</f>
        <v>9668.2289999999921</v>
      </c>
      <c r="O151" s="613">
        <f>O44-O34-O46</f>
        <v>44505.625000000015</v>
      </c>
      <c r="P151" s="321"/>
    </row>
    <row r="152" spans="1:16" ht="12.75" customHeight="1" thickTop="1" thickBot="1">
      <c r="A152" s="863"/>
      <c r="B152" s="234" t="s">
        <v>114</v>
      </c>
      <c r="C152" s="179" t="s">
        <v>115</v>
      </c>
      <c r="D152" s="346">
        <f t="shared" ref="D152:J152" si="23">IF(D44=0,0,D151/D44*100)</f>
        <v>12.49645390070922</v>
      </c>
      <c r="E152" s="346">
        <f t="shared" si="23"/>
        <v>0</v>
      </c>
      <c r="F152" s="346">
        <f t="shared" si="23"/>
        <v>1.9974577810059921</v>
      </c>
      <c r="G152" s="346">
        <f t="shared" si="23"/>
        <v>3.6666972224768544</v>
      </c>
      <c r="H152" s="346">
        <f t="shared" si="23"/>
        <v>3.8011477975702466</v>
      </c>
      <c r="I152" s="346">
        <f t="shared" si="23"/>
        <v>14.914859732941322</v>
      </c>
      <c r="J152" s="346">
        <f t="shared" si="23"/>
        <v>19.214270296606202</v>
      </c>
      <c r="K152" s="346">
        <f>IF(K44=0,0,K151/K44*100)</f>
        <v>0</v>
      </c>
      <c r="L152" s="346">
        <f t="shared" ref="L152:O152" si="24">IF(L44=0,0,L151/L44*100)</f>
        <v>2.0267914407925423</v>
      </c>
      <c r="M152" s="346">
        <f t="shared" si="24"/>
        <v>1.8688019437742553</v>
      </c>
      <c r="N152" s="346">
        <f t="shared" si="24"/>
        <v>4.0682574138584853</v>
      </c>
      <c r="O152" s="346">
        <f t="shared" si="24"/>
        <v>31.865936799346777</v>
      </c>
      <c r="P152" s="321"/>
    </row>
    <row r="153" spans="1:16" ht="12.75" customHeight="1" thickTop="1" thickBot="1">
      <c r="A153" s="863"/>
      <c r="B153" s="234" t="s">
        <v>116</v>
      </c>
      <c r="C153" s="179" t="s">
        <v>117</v>
      </c>
      <c r="D153" s="346">
        <f t="shared" ref="D153:J153" si="25">IF(D45=0,0,D151/D45*100)</f>
        <v>12.49645390070922</v>
      </c>
      <c r="E153" s="346">
        <f t="shared" si="25"/>
        <v>0</v>
      </c>
      <c r="F153" s="346">
        <f t="shared" si="25"/>
        <v>1.9974577810059921</v>
      </c>
      <c r="G153" s="346">
        <f t="shared" si="25"/>
        <v>3.747444711137593</v>
      </c>
      <c r="H153" s="346">
        <f t="shared" si="25"/>
        <v>4.1517928011169136</v>
      </c>
      <c r="I153" s="346">
        <f t="shared" si="25"/>
        <v>14.986902616522396</v>
      </c>
      <c r="J153" s="346">
        <f t="shared" si="25"/>
        <v>19.214270296606202</v>
      </c>
      <c r="K153" s="346">
        <f>IF(K45=0,0,K151/K45*100)</f>
        <v>0</v>
      </c>
      <c r="L153" s="346">
        <f t="shared" ref="L153:O153" si="26">IF(L45=0,0,L151/L45*100)</f>
        <v>2.0267914407925423</v>
      </c>
      <c r="M153" s="346">
        <f t="shared" si="26"/>
        <v>1.8700509087619881</v>
      </c>
      <c r="N153" s="346">
        <f t="shared" si="26"/>
        <v>4.4659577155973702</v>
      </c>
      <c r="O153" s="346">
        <f t="shared" si="26"/>
        <v>32.094875084721565</v>
      </c>
    </row>
    <row r="154" spans="1:16" ht="12.75" customHeight="1" thickTop="1" thickBot="1">
      <c r="A154" s="863"/>
      <c r="B154" s="224" t="s">
        <v>118</v>
      </c>
      <c r="C154" s="225" t="s">
        <v>209</v>
      </c>
      <c r="D154" s="451">
        <f>SUM(E154:I154)</f>
        <v>3626.0604761903205</v>
      </c>
      <c r="E154" s="442"/>
      <c r="F154" s="290">
        <f>3072.93260694095*1.18</f>
        <v>3626.0604761903205</v>
      </c>
      <c r="G154" s="442"/>
      <c r="H154" s="442"/>
      <c r="I154" s="442"/>
      <c r="J154" s="442">
        <f>SUM(K154:O154)</f>
        <v>3984.9576685999996</v>
      </c>
      <c r="K154" s="442">
        <v>0</v>
      </c>
      <c r="L154" s="452">
        <f>3377.08277*1.18</f>
        <v>3984.9576685999996</v>
      </c>
      <c r="M154" s="442">
        <v>0</v>
      </c>
      <c r="N154" s="442">
        <v>0</v>
      </c>
      <c r="O154" s="442">
        <v>0</v>
      </c>
    </row>
    <row r="155" spans="1:16" ht="12.75" customHeight="1" thickTop="1" thickBot="1">
      <c r="A155" s="863"/>
      <c r="B155" s="227" t="s">
        <v>120</v>
      </c>
      <c r="C155" s="186" t="s">
        <v>121</v>
      </c>
      <c r="D155" s="443">
        <f>SUM(E155:I155)</f>
        <v>44050</v>
      </c>
      <c r="E155" s="448">
        <f>E151</f>
        <v>0</v>
      </c>
      <c r="F155" s="448">
        <f>F151</f>
        <v>5500</v>
      </c>
      <c r="G155" s="448">
        <f>G151</f>
        <v>4000</v>
      </c>
      <c r="H155" s="448">
        <f>H151</f>
        <v>10200</v>
      </c>
      <c r="I155" s="448">
        <f>I151</f>
        <v>24350</v>
      </c>
      <c r="J155" s="448">
        <f>SUM(K155:O155)</f>
        <v>60619.339999999989</v>
      </c>
      <c r="K155" s="448">
        <f>K151</f>
        <v>0</v>
      </c>
      <c r="L155" s="448">
        <f>L151</f>
        <v>5013.1559999999881</v>
      </c>
      <c r="M155" s="448">
        <f>M151</f>
        <v>1432.3299999999967</v>
      </c>
      <c r="N155" s="448">
        <f>N151</f>
        <v>9668.2289999999921</v>
      </c>
      <c r="O155" s="448">
        <f>O151</f>
        <v>44505.625000000015</v>
      </c>
    </row>
    <row r="156" spans="1:16" ht="12.75" customHeight="1" thickTop="1" thickBot="1">
      <c r="A156" s="863"/>
      <c r="B156" s="227" t="s">
        <v>122</v>
      </c>
      <c r="C156" s="186" t="s">
        <v>167</v>
      </c>
      <c r="D156" s="444">
        <f>D157/1.18/D155</f>
        <v>1.7607233774156428</v>
      </c>
      <c r="E156" s="341">
        <v>1.7607233774156428</v>
      </c>
      <c r="F156" s="341">
        <v>1.7607233774156428</v>
      </c>
      <c r="G156" s="341">
        <v>1.7607233774156428</v>
      </c>
      <c r="H156" s="341">
        <v>1.7607233774156428</v>
      </c>
      <c r="I156" s="341">
        <v>1.7607233774156428</v>
      </c>
      <c r="J156" s="444">
        <f>J157/1.18/J155</f>
        <v>1.6069889942714652</v>
      </c>
      <c r="K156" s="341">
        <v>1.6069889942714652</v>
      </c>
      <c r="L156" s="341">
        <v>1.6069889942714652</v>
      </c>
      <c r="M156" s="341">
        <v>1.6069889942714652</v>
      </c>
      <c r="N156" s="341">
        <v>1.6069889942714652</v>
      </c>
      <c r="O156" s="341">
        <v>1.6069889942714652</v>
      </c>
    </row>
    <row r="157" spans="1:16" ht="12.75" customHeight="1" thickTop="1" thickBot="1">
      <c r="A157" s="863"/>
      <c r="B157" s="227" t="s">
        <v>124</v>
      </c>
      <c r="C157" s="186" t="s">
        <v>168</v>
      </c>
      <c r="D157" s="443">
        <f>SUM(E157:I157)</f>
        <v>91520.640434687695</v>
      </c>
      <c r="E157" s="443">
        <f>E155*E156*1.18</f>
        <v>0</v>
      </c>
      <c r="F157" s="443">
        <f>F155*F156*1.18</f>
        <v>11427.094719427521</v>
      </c>
      <c r="G157" s="443">
        <f>G155*G156*1.18</f>
        <v>8310.6143414018334</v>
      </c>
      <c r="H157" s="443">
        <f>H155*H156*1.18</f>
        <v>21192.066570574676</v>
      </c>
      <c r="I157" s="443">
        <f>I155*I156*1.18</f>
        <v>50590.864803283657</v>
      </c>
      <c r="J157" s="448">
        <f>SUM(K157:O157)</f>
        <v>114949.24241959998</v>
      </c>
      <c r="K157" s="448">
        <f>K155*K156*1.18</f>
        <v>0</v>
      </c>
      <c r="L157" s="448">
        <f>L155*L156*1.18</f>
        <v>9506.1820919078109</v>
      </c>
      <c r="M157" s="448">
        <f>M155*M156*1.18</f>
        <v>2716.0514844745144</v>
      </c>
      <c r="N157" s="448">
        <f>N155*N156*1.18</f>
        <v>18333.350364573518</v>
      </c>
      <c r="O157" s="448">
        <f>O155*O156*1.18</f>
        <v>84393.658478644138</v>
      </c>
    </row>
    <row r="158" spans="1:16" ht="12.75" customHeight="1" thickTop="1" thickBot="1">
      <c r="A158" s="863"/>
      <c r="B158" s="229" t="s">
        <v>126</v>
      </c>
      <c r="C158" s="225" t="s">
        <v>127</v>
      </c>
      <c r="D158" s="445">
        <f>SUM(E158:I158)</f>
        <v>40010</v>
      </c>
      <c r="E158" s="451">
        <f>E160*E45</f>
        <v>0</v>
      </c>
      <c r="F158" s="451">
        <f>F160*F45/100</f>
        <v>5499.9999999999991</v>
      </c>
      <c r="G158" s="451">
        <f>G160*G45/100</f>
        <v>4000</v>
      </c>
      <c r="H158" s="451">
        <f>H160*H45/100</f>
        <v>10200</v>
      </c>
      <c r="I158" s="451">
        <f>I160*I45/100</f>
        <v>20310</v>
      </c>
      <c r="J158" s="470">
        <f>SUM(K158:O158)</f>
        <v>35808.255999999979</v>
      </c>
      <c r="K158" s="453">
        <v>-5.6843418860808015E-13</v>
      </c>
      <c r="L158" s="534">
        <v>5013.1559999999881</v>
      </c>
      <c r="M158" s="534">
        <v>1432.3299999999967</v>
      </c>
      <c r="N158" s="534">
        <v>9668.2289999999921</v>
      </c>
      <c r="O158" s="534">
        <v>19694.541000000001</v>
      </c>
    </row>
    <row r="159" spans="1:16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27">IF(D44=0,0,D158/D44*100)</f>
        <v>11.350354609929077</v>
      </c>
      <c r="E159" s="345">
        <f t="shared" si="27"/>
        <v>0</v>
      </c>
      <c r="F159" s="345">
        <f t="shared" si="27"/>
        <v>1.9974577810059919</v>
      </c>
      <c r="G159" s="345">
        <f t="shared" si="27"/>
        <v>3.6666972224768544</v>
      </c>
      <c r="H159" s="345">
        <f t="shared" si="27"/>
        <v>3.8011477975702466</v>
      </c>
      <c r="I159" s="345">
        <f t="shared" si="27"/>
        <v>12.440279309077546</v>
      </c>
      <c r="J159" s="345">
        <f t="shared" si="27"/>
        <v>11.350000010459871</v>
      </c>
      <c r="K159" s="345">
        <f>IF(K44=0,0,K158/K44*100)</f>
        <v>0</v>
      </c>
      <c r="L159" s="345">
        <f t="shared" si="27"/>
        <v>2.0267914407925423</v>
      </c>
      <c r="M159" s="345">
        <f t="shared" si="27"/>
        <v>1.8688019437742553</v>
      </c>
      <c r="N159" s="345">
        <f t="shared" si="27"/>
        <v>4.0682574138584853</v>
      </c>
      <c r="O159" s="345">
        <f t="shared" si="27"/>
        <v>14.101251219326628</v>
      </c>
      <c r="P159" s="25"/>
    </row>
    <row r="160" spans="1:16" ht="12.75" customHeight="1" thickTop="1" thickBot="1">
      <c r="A160" s="863"/>
      <c r="B160" s="230" t="s">
        <v>130</v>
      </c>
      <c r="C160" s="225" t="s">
        <v>131</v>
      </c>
      <c r="D160" s="345">
        <f>IF(D45=0,0,D158/D45*100)</f>
        <v>11.350354609929077</v>
      </c>
      <c r="E160" s="317">
        <v>0</v>
      </c>
      <c r="F160" s="454">
        <v>1.9974577810059921</v>
      </c>
      <c r="G160" s="454">
        <v>3.747444711137593</v>
      </c>
      <c r="H160" s="454">
        <v>4.1517928011169136</v>
      </c>
      <c r="I160" s="454">
        <v>12.500369287128127</v>
      </c>
      <c r="J160" s="345">
        <f>IF(J45=0,0,J158/J45*100)</f>
        <v>11.350000010459871</v>
      </c>
      <c r="K160" s="345">
        <f>IF(K45=0,0,K158/K45*100)</f>
        <v>0</v>
      </c>
      <c r="L160" s="345">
        <f t="shared" ref="L160:O160" si="28">IF(L45=0,0,L158/L45*100)</f>
        <v>2.0267914407925423</v>
      </c>
      <c r="M160" s="345">
        <f t="shared" si="28"/>
        <v>1.8700509087619881</v>
      </c>
      <c r="N160" s="345">
        <f t="shared" si="28"/>
        <v>4.4659577155973702</v>
      </c>
      <c r="O160" s="345">
        <f t="shared" si="28"/>
        <v>14.202560535795802</v>
      </c>
      <c r="P160" s="25"/>
    </row>
    <row r="161" spans="1:17" ht="12.75" customHeight="1" thickTop="1" thickBot="1">
      <c r="A161" s="863"/>
      <c r="B161" s="231" t="s">
        <v>132</v>
      </c>
      <c r="C161" s="186" t="s">
        <v>133</v>
      </c>
      <c r="D161" s="443">
        <f>SUM(E161:I161)</f>
        <v>4040</v>
      </c>
      <c r="E161" s="251">
        <f>E151-E158</f>
        <v>0</v>
      </c>
      <c r="F161" s="448">
        <f>F151-F158</f>
        <v>0</v>
      </c>
      <c r="G161" s="448">
        <f>G151-G158</f>
        <v>0</v>
      </c>
      <c r="H161" s="448">
        <f>H151-H158</f>
        <v>0</v>
      </c>
      <c r="I161" s="448">
        <f>I151-I158</f>
        <v>4040</v>
      </c>
      <c r="J161" s="471">
        <f>SUM(K161:O161)</f>
        <v>24811.084000000013</v>
      </c>
      <c r="K161" s="448">
        <f>K151-K158</f>
        <v>5.6843418860808015E-13</v>
      </c>
      <c r="L161" s="448">
        <f>L151-L158</f>
        <v>0</v>
      </c>
      <c r="M161" s="448">
        <f>M151-M158</f>
        <v>0</v>
      </c>
      <c r="N161" s="448">
        <f>N151-N158</f>
        <v>0</v>
      </c>
      <c r="O161" s="443">
        <f>O151-O158</f>
        <v>24811.084000000013</v>
      </c>
    </row>
    <row r="162" spans="1:17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1.1460992907801419</v>
      </c>
      <c r="E162" s="347">
        <f t="shared" ref="E162:I162" si="29">IF(E44=0,0,E161/E44*100)</f>
        <v>0</v>
      </c>
      <c r="F162" s="347">
        <f t="shared" si="29"/>
        <v>0</v>
      </c>
      <c r="G162" s="347">
        <f t="shared" si="29"/>
        <v>0</v>
      </c>
      <c r="H162" s="347">
        <f t="shared" si="29"/>
        <v>0</v>
      </c>
      <c r="I162" s="347">
        <f t="shared" si="29"/>
        <v>2.4745804238637756</v>
      </c>
      <c r="J162" s="347">
        <f>IF(J44=0,0,J161/J44*100)</f>
        <v>7.8642702861463301</v>
      </c>
      <c r="K162" s="347">
        <f>IF(K44=0,0,K161/K44*100)</f>
        <v>0</v>
      </c>
      <c r="L162" s="347">
        <f t="shared" ref="L162:O162" si="30">IF(L44=0,0,L161/L44*100)</f>
        <v>0</v>
      </c>
      <c r="M162" s="347">
        <f t="shared" si="30"/>
        <v>0</v>
      </c>
      <c r="N162" s="347">
        <f t="shared" si="30"/>
        <v>0</v>
      </c>
      <c r="O162" s="347">
        <f t="shared" si="30"/>
        <v>17.764685580020149</v>
      </c>
    </row>
    <row r="163" spans="1:17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1.1460992907801419</v>
      </c>
      <c r="E163" s="347">
        <f t="shared" ref="E163:O163" si="31">IF(E45=0,0,E161/E45*100)</f>
        <v>0</v>
      </c>
      <c r="F163" s="347">
        <f t="shared" si="31"/>
        <v>0</v>
      </c>
      <c r="G163" s="347">
        <f t="shared" si="31"/>
        <v>0</v>
      </c>
      <c r="H163" s="347">
        <f t="shared" si="31"/>
        <v>0</v>
      </c>
      <c r="I163" s="347">
        <f t="shared" si="31"/>
        <v>2.4865333293942702</v>
      </c>
      <c r="J163" s="347">
        <f t="shared" si="31"/>
        <v>7.8642702861463301</v>
      </c>
      <c r="K163" s="347">
        <f t="shared" si="31"/>
        <v>0</v>
      </c>
      <c r="L163" s="347">
        <f t="shared" si="31"/>
        <v>0</v>
      </c>
      <c r="M163" s="347">
        <f t="shared" si="31"/>
        <v>0</v>
      </c>
      <c r="N163" s="347">
        <f t="shared" si="31"/>
        <v>0</v>
      </c>
      <c r="O163" s="347">
        <f t="shared" si="31"/>
        <v>17.892314548925757</v>
      </c>
    </row>
    <row r="164" spans="1:17">
      <c r="A164" s="94" t="s">
        <v>210</v>
      </c>
      <c r="D164" s="95"/>
      <c r="E164" s="95"/>
      <c r="F164" s="601"/>
      <c r="G164" s="601"/>
      <c r="H164" s="601"/>
      <c r="I164" s="601"/>
      <c r="J164" s="348"/>
      <c r="K164" s="348"/>
      <c r="L164" s="348"/>
      <c r="M164" s="348"/>
      <c r="N164" s="348"/>
      <c r="O164" s="348"/>
    </row>
    <row r="165" spans="1:17" ht="12.75" thickBot="1">
      <c r="D165" s="95"/>
      <c r="E165" s="93"/>
      <c r="F165" s="342"/>
      <c r="G165" s="342"/>
      <c r="H165" s="342"/>
      <c r="I165" s="342"/>
      <c r="J165" s="348"/>
      <c r="K165" s="348"/>
      <c r="L165" s="342"/>
      <c r="M165" s="342"/>
      <c r="N165" s="342"/>
      <c r="O165" s="342"/>
    </row>
    <row r="166" spans="1:17" ht="12.75" customHeight="1" thickBot="1">
      <c r="B166" s="854" t="s">
        <v>138</v>
      </c>
      <c r="C166" s="855" t="s">
        <v>139</v>
      </c>
      <c r="D166" s="842" t="s">
        <v>140</v>
      </c>
      <c r="E166" s="843"/>
      <c r="F166" s="843"/>
      <c r="G166" s="843"/>
      <c r="H166" s="843"/>
      <c r="I166" s="844"/>
      <c r="J166" s="842" t="s">
        <v>140</v>
      </c>
      <c r="K166" s="843"/>
      <c r="L166" s="843"/>
      <c r="M166" s="843"/>
      <c r="N166" s="843"/>
      <c r="O166" s="844"/>
    </row>
    <row r="167" spans="1:17">
      <c r="B167" s="854"/>
      <c r="C167" s="855"/>
      <c r="D167" s="96" t="s">
        <v>141</v>
      </c>
      <c r="E167" s="97"/>
      <c r="F167" s="97" t="s">
        <v>5</v>
      </c>
      <c r="G167" s="98" t="s">
        <v>74</v>
      </c>
      <c r="H167" s="98" t="s">
        <v>76</v>
      </c>
      <c r="I167" s="99" t="s">
        <v>8</v>
      </c>
      <c r="J167" s="96" t="s">
        <v>141</v>
      </c>
      <c r="K167" s="97"/>
      <c r="L167" s="97" t="s">
        <v>5</v>
      </c>
      <c r="M167" s="98" t="s">
        <v>74</v>
      </c>
      <c r="N167" s="98" t="s">
        <v>76</v>
      </c>
      <c r="O167" s="99" t="s">
        <v>8</v>
      </c>
    </row>
    <row r="168" spans="1:17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7" ht="12.75">
      <c r="B169" s="32" t="s">
        <v>10</v>
      </c>
      <c r="C169" s="33" t="s">
        <v>142</v>
      </c>
      <c r="D169" s="34">
        <f>D174+D175+D176</f>
        <v>352500</v>
      </c>
      <c r="E169" s="35"/>
      <c r="F169" s="36">
        <f>F170+F174+F175+F176</f>
        <v>275350</v>
      </c>
      <c r="G169" s="36">
        <f>G170+G174+G175+G176</f>
        <v>106910</v>
      </c>
      <c r="H169" s="36">
        <f>H170+H174+H175+H176</f>
        <v>246620</v>
      </c>
      <c r="I169" s="37">
        <f>I170+I174+I175+I176</f>
        <v>163260</v>
      </c>
      <c r="J169" s="34">
        <f>J174+J175+J176</f>
        <v>315491.24200000003</v>
      </c>
      <c r="K169" s="35"/>
      <c r="L169" s="36">
        <f>L170+L174+L175+L176</f>
        <v>247344.443</v>
      </c>
      <c r="M169" s="36">
        <f>M170+M174+M175+M176</f>
        <v>76593.102000000014</v>
      </c>
      <c r="N169" s="36">
        <f>N170+N174+N175+N176</f>
        <v>217085.158</v>
      </c>
      <c r="O169" s="727">
        <f>O170+O174+O175+O176</f>
        <v>139665.20200000002</v>
      </c>
    </row>
    <row r="170" spans="1:17" ht="12.75">
      <c r="B170" s="38" t="s">
        <v>12</v>
      </c>
      <c r="C170" s="39" t="s">
        <v>143</v>
      </c>
      <c r="D170" s="675">
        <f t="shared" ref="D170:D177" si="32">SUM(F170:I170)</f>
        <v>439640</v>
      </c>
      <c r="E170" s="676"/>
      <c r="F170" s="676"/>
      <c r="G170" s="677">
        <f>SUM(G171:G173)</f>
        <v>57250</v>
      </c>
      <c r="H170" s="677">
        <f>SUM(H171:H173)</f>
        <v>219130</v>
      </c>
      <c r="I170" s="678">
        <f>SUM(I171:I173)</f>
        <v>163260</v>
      </c>
      <c r="J170" s="675">
        <f t="shared" ref="J170:J177" si="33">SUM(L170:O170)</f>
        <v>365196.66300000006</v>
      </c>
      <c r="K170" s="676"/>
      <c r="L170" s="676"/>
      <c r="M170" s="677">
        <f>SUM(M171:M173)</f>
        <v>34262.884000000005</v>
      </c>
      <c r="N170" s="677">
        <f>SUM(N171:N173)</f>
        <v>191269.685</v>
      </c>
      <c r="O170" s="678">
        <f>SUM(O171:O173)</f>
        <v>139664.09400000001</v>
      </c>
    </row>
    <row r="171" spans="1:17" ht="12.75">
      <c r="B171" s="40" t="s">
        <v>144</v>
      </c>
      <c r="C171" s="41" t="s">
        <v>145</v>
      </c>
      <c r="D171" s="42">
        <f t="shared" si="32"/>
        <v>178730</v>
      </c>
      <c r="E171" s="43"/>
      <c r="F171" s="44"/>
      <c r="G171" s="45">
        <f>G31-G49-G61-G73-G85-G97-G78-G109-G121-G54-G66-G90-G102-G114-G126</f>
        <v>57250</v>
      </c>
      <c r="H171" s="45">
        <f>H31-H49-H61-H73-H85-H97-H78-H54-H109-H66-H90-H102-H114-H121-H126</f>
        <v>121480</v>
      </c>
      <c r="I171" s="46"/>
      <c r="J171" s="42">
        <f t="shared" si="33"/>
        <v>152395.72500000001</v>
      </c>
      <c r="K171" s="43"/>
      <c r="L171" s="44"/>
      <c r="M171" s="45">
        <f>M31-M49-M61-M73-M85-M97-M78-M109-M121-M54-M66-M90-M102-M114-M126</f>
        <v>34262.884000000005</v>
      </c>
      <c r="N171" s="45">
        <f>N31-N49-N61-N73-N85-N97-N78-N54-N109-N66-N90-N102-N114-N121-N126</f>
        <v>118132.841</v>
      </c>
      <c r="O171" s="46"/>
      <c r="Q171" s="318"/>
    </row>
    <row r="172" spans="1:17" ht="12.75">
      <c r="B172" s="47" t="s">
        <v>146</v>
      </c>
      <c r="C172" s="48" t="s">
        <v>6</v>
      </c>
      <c r="D172" s="42">
        <f t="shared" si="32"/>
        <v>97650</v>
      </c>
      <c r="E172" s="43"/>
      <c r="F172" s="44"/>
      <c r="G172" s="49"/>
      <c r="H172" s="45">
        <f>H32-H50-H62-H74-H86-H98-H110-H55-H67-H79-H91-H103-H115-H122-H127</f>
        <v>97650</v>
      </c>
      <c r="I172" s="50">
        <f>I32-I50-I55-I62-I67-I74-I79-I86-I91-I98-I103-I110-I115-I122-I127</f>
        <v>0</v>
      </c>
      <c r="J172" s="42">
        <f t="shared" si="33"/>
        <v>73136.844000000012</v>
      </c>
      <c r="K172" s="43"/>
      <c r="L172" s="44"/>
      <c r="M172" s="49"/>
      <c r="N172" s="45">
        <f>N32-N50-N62-N74-N86-N98-N110-N55-N67-N79-N91-N103-N115-N122-N127</f>
        <v>73136.844000000012</v>
      </c>
      <c r="O172" s="50">
        <f>O32-O50-O55-O62-O67-O74-O79-O86-O91-O98-O103-O110-O115-O122-O127</f>
        <v>0</v>
      </c>
    </row>
    <row r="173" spans="1:17" ht="12.75">
      <c r="B173" s="51" t="s">
        <v>147</v>
      </c>
      <c r="C173" s="52" t="s">
        <v>7</v>
      </c>
      <c r="D173" s="53">
        <f t="shared" si="32"/>
        <v>163260</v>
      </c>
      <c r="E173" s="54"/>
      <c r="F173" s="55"/>
      <c r="G173" s="56"/>
      <c r="H173" s="56"/>
      <c r="I173" s="57">
        <f>I33-I51-I87-I75-I99-I111-I56-I63-I68-I80-I92-I104-I116-I123-I128</f>
        <v>163260</v>
      </c>
      <c r="J173" s="53">
        <f t="shared" si="33"/>
        <v>139664.09400000001</v>
      </c>
      <c r="K173" s="54"/>
      <c r="L173" s="55"/>
      <c r="M173" s="56"/>
      <c r="N173" s="56"/>
      <c r="O173" s="726">
        <f>O33-O51-O87-O75-O99-O111-O56-O63-O68-O80-O92-O104-O116-O123-O128</f>
        <v>139664.09400000001</v>
      </c>
      <c r="P173" s="321"/>
    </row>
    <row r="174" spans="1:17" ht="12.75">
      <c r="B174" s="58" t="s">
        <v>14</v>
      </c>
      <c r="C174" s="39" t="s">
        <v>148</v>
      </c>
      <c r="D174" s="110">
        <f t="shared" si="32"/>
        <v>177120</v>
      </c>
      <c r="E174" s="111"/>
      <c r="F174" s="111">
        <f>F28+E28</f>
        <v>137380</v>
      </c>
      <c r="G174" s="112">
        <f>G28</f>
        <v>36320</v>
      </c>
      <c r="H174" s="112">
        <f>H28</f>
        <v>3420</v>
      </c>
      <c r="I174" s="113">
        <f>I28</f>
        <v>0</v>
      </c>
      <c r="J174" s="110">
        <f t="shared" si="33"/>
        <v>251695.079</v>
      </c>
      <c r="K174" s="111"/>
      <c r="L174" s="111">
        <f>L28+K28</f>
        <v>219499.96899999998</v>
      </c>
      <c r="M174" s="112">
        <f>M28</f>
        <v>29233.480000000003</v>
      </c>
      <c r="N174" s="112">
        <f>N28</f>
        <v>2961.63</v>
      </c>
      <c r="O174" s="113">
        <f>O28</f>
        <v>0</v>
      </c>
    </row>
    <row r="175" spans="1:17" ht="12.75">
      <c r="B175" s="59" t="s">
        <v>16</v>
      </c>
      <c r="C175" s="60" t="s">
        <v>149</v>
      </c>
      <c r="D175" s="123">
        <f t="shared" si="32"/>
        <v>175380</v>
      </c>
      <c r="E175" s="124"/>
      <c r="F175" s="125">
        <f>F23+F24+F25+E23+E24+E25</f>
        <v>137970</v>
      </c>
      <c r="G175" s="125">
        <f>G23+G24+G25</f>
        <v>13340</v>
      </c>
      <c r="H175" s="125">
        <f>H23+H24+H25</f>
        <v>24070</v>
      </c>
      <c r="I175" s="126">
        <f>I23+I24+I25</f>
        <v>0</v>
      </c>
      <c r="J175" s="123">
        <f t="shared" si="33"/>
        <v>63796.163000000008</v>
      </c>
      <c r="K175" s="124"/>
      <c r="L175" s="125">
        <f>L23+L24+L25+K23+K24+K25</f>
        <v>27844.474000000009</v>
      </c>
      <c r="M175" s="125">
        <f>M23+M24+M25</f>
        <v>13096.737999999999</v>
      </c>
      <c r="N175" s="125">
        <f>N23+N24+N25</f>
        <v>22853.842999999997</v>
      </c>
      <c r="O175" s="126">
        <f>O23+O24+O25</f>
        <v>1.1079999999999997</v>
      </c>
    </row>
    <row r="176" spans="1:17" ht="13.5" thickBot="1">
      <c r="B176" s="61" t="s">
        <v>20</v>
      </c>
      <c r="C176" s="62" t="s">
        <v>150</v>
      </c>
      <c r="D176" s="129">
        <f t="shared" si="32"/>
        <v>0</v>
      </c>
      <c r="E176" s="130"/>
      <c r="F176" s="131">
        <f>F29+E29</f>
        <v>0</v>
      </c>
      <c r="G176" s="131">
        <f>G29</f>
        <v>0</v>
      </c>
      <c r="H176" s="131">
        <f>H29</f>
        <v>0</v>
      </c>
      <c r="I176" s="132">
        <f>I29</f>
        <v>0</v>
      </c>
      <c r="J176" s="129">
        <f t="shared" si="33"/>
        <v>0</v>
      </c>
      <c r="K176" s="130"/>
      <c r="L176" s="131">
        <f>L29+K29</f>
        <v>0</v>
      </c>
      <c r="M176" s="131">
        <f>M29</f>
        <v>0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32"/>
        <v>44050</v>
      </c>
      <c r="E177" s="136"/>
      <c r="F177" s="136">
        <f>F169-F180-G171-H171</f>
        <v>5500</v>
      </c>
      <c r="G177" s="136">
        <f>G169-G180-H172-I172</f>
        <v>4000</v>
      </c>
      <c r="H177" s="136">
        <f>H169-H180-I173</f>
        <v>10200</v>
      </c>
      <c r="I177" s="137">
        <f>I169-I180</f>
        <v>24350</v>
      </c>
      <c r="J177" s="716">
        <f t="shared" si="33"/>
        <v>60619.339999999953</v>
      </c>
      <c r="K177" s="136"/>
      <c r="L177" s="714">
        <f>L169-L180-M171-N171</f>
        <v>5013.1559999999881</v>
      </c>
      <c r="M177" s="714">
        <f>M169-M180-N172-O172</f>
        <v>1432.3300000000017</v>
      </c>
      <c r="N177" s="714">
        <f>N169-N180-O173</f>
        <v>9668.228999999963</v>
      </c>
      <c r="O177" s="715">
        <f>O169-O180</f>
        <v>44505.625</v>
      </c>
    </row>
    <row r="178" spans="1:15" ht="13.5" thickBot="1">
      <c r="B178" s="64"/>
      <c r="C178" s="65" t="s">
        <v>152</v>
      </c>
      <c r="D178" s="441">
        <f>IF(D169=0,0,D177/D169*100)</f>
        <v>12.49645390070922</v>
      </c>
      <c r="E178" s="140"/>
      <c r="F178" s="441">
        <f t="shared" ref="F178:I178" si="34">IF(F169=0,0,F177/F169*100)</f>
        <v>1.9974577810059921</v>
      </c>
      <c r="G178" s="441">
        <f t="shared" si="34"/>
        <v>3.7414647834627259</v>
      </c>
      <c r="H178" s="441">
        <f t="shared" si="34"/>
        <v>4.1359176060335745</v>
      </c>
      <c r="I178" s="718">
        <f t="shared" si="34"/>
        <v>14.914859732941322</v>
      </c>
      <c r="J178" s="719">
        <f>IF(J169=0,0,J177/J169*100)</f>
        <v>19.214270296606191</v>
      </c>
      <c r="K178" s="140"/>
      <c r="L178" s="441">
        <f t="shared" ref="L178:O178" si="35">IF(L169=0,0,L177/L169*100)</f>
        <v>2.0267914407925423</v>
      </c>
      <c r="M178" s="441">
        <f t="shared" si="35"/>
        <v>1.8700509087619948</v>
      </c>
      <c r="N178" s="441">
        <f t="shared" si="35"/>
        <v>4.4536573062263258</v>
      </c>
      <c r="O178" s="441">
        <f t="shared" si="35"/>
        <v>31.865936799346766</v>
      </c>
    </row>
    <row r="179" spans="1:15" ht="26.25" thickBot="1">
      <c r="B179" s="66" t="s">
        <v>38</v>
      </c>
      <c r="C179" s="67" t="s">
        <v>153</v>
      </c>
      <c r="D179" s="143">
        <f t="shared" ref="D179:D184" si="36">SUM(F179:I179)</f>
        <v>0</v>
      </c>
      <c r="E179" s="144"/>
      <c r="F179" s="144"/>
      <c r="G179" s="145"/>
      <c r="H179" s="145"/>
      <c r="I179" s="146"/>
      <c r="J179" s="143">
        <f t="shared" ref="J179:J180" si="37">SUM(L179:O179)</f>
        <v>0</v>
      </c>
      <c r="K179" s="144"/>
      <c r="L179" s="144"/>
      <c r="M179" s="145"/>
      <c r="N179" s="145"/>
      <c r="O179" s="146"/>
    </row>
    <row r="180" spans="1:15" s="83" customFormat="1" ht="13.5" thickBot="1">
      <c r="B180" s="147" t="s">
        <v>52</v>
      </c>
      <c r="C180" s="148" t="s">
        <v>154</v>
      </c>
      <c r="D180" s="143">
        <f t="shared" si="36"/>
        <v>308450</v>
      </c>
      <c r="E180" s="144"/>
      <c r="F180" s="682">
        <f>F143+E143</f>
        <v>91120</v>
      </c>
      <c r="G180" s="682">
        <f>G143+G194</f>
        <v>5260</v>
      </c>
      <c r="H180" s="682">
        <f>H143+H194</f>
        <v>73160</v>
      </c>
      <c r="I180" s="683">
        <f>I143+I194</f>
        <v>138910</v>
      </c>
      <c r="J180" s="728">
        <f t="shared" si="37"/>
        <v>254871.90200000003</v>
      </c>
      <c r="K180" s="144"/>
      <c r="L180" s="682">
        <f>L143+K143</f>
        <v>89935.562000000005</v>
      </c>
      <c r="M180" s="682">
        <f>M143+M194</f>
        <v>2023.9280000000001</v>
      </c>
      <c r="N180" s="682">
        <f>N143+N194</f>
        <v>67752.835000000006</v>
      </c>
      <c r="O180" s="683">
        <f>O143+O194</f>
        <v>95159.577000000019</v>
      </c>
    </row>
    <row r="181" spans="1:15" ht="12.75">
      <c r="B181" s="70" t="s">
        <v>54</v>
      </c>
      <c r="C181" s="71" t="s">
        <v>155</v>
      </c>
      <c r="D181" s="151">
        <f t="shared" si="36"/>
        <v>0</v>
      </c>
      <c r="E181" s="152"/>
      <c r="F181" s="152"/>
      <c r="G181" s="153"/>
      <c r="H181" s="153"/>
      <c r="I181" s="154"/>
      <c r="J181" s="151">
        <f t="shared" ref="J181:J184" si="38">SUM(L181:O181)</f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6"/>
        <v>0</v>
      </c>
      <c r="E182" s="158"/>
      <c r="F182" s="159"/>
      <c r="G182" s="159"/>
      <c r="H182" s="159"/>
      <c r="I182" s="160"/>
      <c r="J182" s="157">
        <f t="shared" si="38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6"/>
        <v>0</v>
      </c>
      <c r="E183" s="164"/>
      <c r="F183" s="164"/>
      <c r="G183" s="165"/>
      <c r="H183" s="165"/>
      <c r="I183" s="166"/>
      <c r="J183" s="163">
        <f t="shared" si="38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6"/>
        <v>0</v>
      </c>
      <c r="E184" s="111"/>
      <c r="F184" s="111"/>
      <c r="G184" s="112"/>
      <c r="H184" s="112"/>
      <c r="I184" s="113"/>
      <c r="J184" s="110">
        <f t="shared" si="38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8" spans="1:15" ht="12.75" customHeight="1">
      <c r="A188" s="832" t="s">
        <v>211</v>
      </c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523"/>
      <c r="B194" s="524"/>
      <c r="C194" s="523" t="s">
        <v>193</v>
      </c>
      <c r="D194" s="523"/>
      <c r="E194" s="523"/>
      <c r="F194" s="523"/>
      <c r="G194" s="523">
        <v>170.6</v>
      </c>
      <c r="H194" s="523">
        <v>943</v>
      </c>
      <c r="I194" s="523">
        <v>784.8</v>
      </c>
      <c r="J194" s="523"/>
      <c r="K194" s="523"/>
      <c r="L194" s="523"/>
      <c r="M194" s="523"/>
      <c r="N194" s="523">
        <v>597.90899999999999</v>
      </c>
      <c r="O194" s="523">
        <v>996.25599999999997</v>
      </c>
    </row>
    <row r="195" spans="1:15">
      <c r="A195" s="523"/>
      <c r="B195" s="524"/>
      <c r="C195" s="523" t="s">
        <v>196</v>
      </c>
      <c r="D195" s="523"/>
      <c r="E195" s="523"/>
      <c r="F195" s="527">
        <v>12497.073739849926</v>
      </c>
      <c r="G195" s="523"/>
      <c r="H195" s="523"/>
      <c r="I195" s="523"/>
      <c r="J195" s="523"/>
      <c r="K195" s="523"/>
      <c r="L195" s="527">
        <v>13001.982220000002</v>
      </c>
      <c r="M195" s="523"/>
      <c r="N195" s="523"/>
      <c r="O195" s="523"/>
    </row>
    <row r="197" spans="1:15">
      <c r="N197" s="24"/>
      <c r="O197" s="24"/>
    </row>
    <row r="198" spans="1:15">
      <c r="N198" s="24"/>
      <c r="O198" s="24"/>
    </row>
    <row r="199" spans="1:15">
      <c r="N199" s="24"/>
      <c r="O199" s="24"/>
    </row>
    <row r="200" spans="1:15">
      <c r="N200" s="24"/>
    </row>
    <row r="201" spans="1:15">
      <c r="O201" s="24"/>
    </row>
  </sheetData>
  <mergeCells count="25"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  <mergeCell ref="A6:A29"/>
    <mergeCell ref="A30:A43"/>
    <mergeCell ref="I4:I5"/>
    <mergeCell ref="J4:J5"/>
    <mergeCell ref="K4:L4"/>
    <mergeCell ref="A188:O188"/>
    <mergeCell ref="D166:I166"/>
    <mergeCell ref="J166:O166"/>
    <mergeCell ref="A46:A150"/>
    <mergeCell ref="A151:A163"/>
    <mergeCell ref="B166:B167"/>
    <mergeCell ref="C166:C167"/>
  </mergeCells>
  <phoneticPr fontId="0" type="noConversion"/>
  <pageMargins left="0.86614173228346458" right="0.27559055118110237" top="0.55118110236220474" bottom="0.35433070866141736" header="0.51181102362204722" footer="0.51181102362204722"/>
  <pageSetup paperSize="9" scale="63" firstPageNumber="0" orientation="landscape" horizontalDpi="300" verticalDpi="300" r:id="rId1"/>
  <headerFooter alignWithMargins="0"/>
  <rowBreaks count="3" manualBreakCount="3">
    <brk id="64" max="14" man="1"/>
    <brk id="127" max="14" man="1"/>
    <brk id="189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0"/>
  <sheetViews>
    <sheetView view="pageBreakPreview" zoomScale="90" zoomScaleSheetLayoutView="90" workbookViewId="0">
      <pane xSplit="3" ySplit="5" topLeftCell="D136" activePane="bottomRight" state="frozen"/>
      <selection pane="topRight" activeCell="D1" sqref="D1"/>
      <selection pane="bottomLeft" activeCell="A63" sqref="A63"/>
      <selection pane="bottomRight" activeCell="J147" sqref="J147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.5703125" style="1" customWidth="1"/>
    <col min="6" max="6" width="11.85546875" style="1" customWidth="1"/>
    <col min="7" max="7" width="11.140625" style="1" customWidth="1"/>
    <col min="8" max="8" width="11.42578125" style="1" customWidth="1"/>
    <col min="9" max="9" width="11.85546875" style="1" customWidth="1"/>
    <col min="10" max="10" width="12.42578125" style="1" customWidth="1"/>
    <col min="11" max="11" width="11.140625" style="1" customWidth="1"/>
    <col min="12" max="12" width="11.28515625" style="1" customWidth="1"/>
    <col min="13" max="13" width="10.28515625" style="1" customWidth="1"/>
    <col min="14" max="15" width="11.5703125" style="1" customWidth="1"/>
    <col min="16" max="16" width="9.140625" style="1"/>
    <col min="17" max="17" width="13.42578125" style="1" customWidth="1"/>
    <col min="18" max="16384" width="9.140625" style="1"/>
  </cols>
  <sheetData>
    <row r="1" spans="1:15" ht="15.75">
      <c r="A1" s="817" t="s">
        <v>226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" customHeight="1" thickBot="1">
      <c r="A3" s="856"/>
      <c r="B3" s="857" t="s">
        <v>0</v>
      </c>
      <c r="C3" s="858" t="s">
        <v>1</v>
      </c>
      <c r="D3" s="824" t="s">
        <v>2</v>
      </c>
      <c r="E3" s="825"/>
      <c r="F3" s="825"/>
      <c r="G3" s="825"/>
      <c r="H3" s="825"/>
      <c r="I3" s="826"/>
      <c r="J3" s="827" t="s">
        <v>3</v>
      </c>
      <c r="K3" s="828"/>
      <c r="L3" s="828"/>
      <c r="M3" s="828"/>
      <c r="N3" s="828"/>
      <c r="O3" s="829"/>
    </row>
    <row r="4" spans="1:15" s="3" customFormat="1" ht="12.75" customHeight="1" thickTop="1" thickBot="1">
      <c r="A4" s="856"/>
      <c r="B4" s="857"/>
      <c r="C4" s="858"/>
      <c r="D4" s="830" t="s">
        <v>4</v>
      </c>
      <c r="E4" s="835" t="s">
        <v>5</v>
      </c>
      <c r="F4" s="835"/>
      <c r="G4" s="835" t="s">
        <v>6</v>
      </c>
      <c r="H4" s="835" t="s">
        <v>7</v>
      </c>
      <c r="I4" s="820" t="s">
        <v>8</v>
      </c>
      <c r="J4" s="831" t="s">
        <v>4</v>
      </c>
      <c r="K4" s="833" t="s">
        <v>5</v>
      </c>
      <c r="L4" s="834"/>
      <c r="M4" s="818" t="s">
        <v>6</v>
      </c>
      <c r="N4" s="818" t="s">
        <v>7</v>
      </c>
      <c r="O4" s="820" t="s">
        <v>8</v>
      </c>
    </row>
    <row r="5" spans="1:15" s="6" customFormat="1" ht="13.5" thickTop="1" thickBot="1">
      <c r="A5" s="856"/>
      <c r="B5" s="857"/>
      <c r="C5" s="858"/>
      <c r="D5" s="831"/>
      <c r="E5" s="86">
        <v>220</v>
      </c>
      <c r="F5" s="86">
        <v>110</v>
      </c>
      <c r="G5" s="818"/>
      <c r="H5" s="818"/>
      <c r="I5" s="846"/>
      <c r="J5" s="845"/>
      <c r="K5" s="87">
        <v>220</v>
      </c>
      <c r="L5" s="242">
        <v>110</v>
      </c>
      <c r="M5" s="819"/>
      <c r="N5" s="819"/>
      <c r="O5" s="821"/>
    </row>
    <row r="6" spans="1:15" ht="13.5" thickTop="1" thickBot="1">
      <c r="A6" s="862" t="s">
        <v>9</v>
      </c>
      <c r="B6" s="179" t="s">
        <v>10</v>
      </c>
      <c r="C6" s="179" t="s">
        <v>11</v>
      </c>
      <c r="D6" s="352">
        <f t="shared" ref="D6:O6" si="0">SUM(D7:D9,D12,D14)</f>
        <v>3078120</v>
      </c>
      <c r="E6" s="353">
        <f t="shared" si="0"/>
        <v>0</v>
      </c>
      <c r="F6" s="353">
        <f t="shared" si="0"/>
        <v>2492560</v>
      </c>
      <c r="G6" s="353">
        <f t="shared" si="0"/>
        <v>359280</v>
      </c>
      <c r="H6" s="353">
        <f t="shared" si="0"/>
        <v>226210</v>
      </c>
      <c r="I6" s="353">
        <f t="shared" si="0"/>
        <v>70</v>
      </c>
      <c r="J6" s="244">
        <f t="shared" si="0"/>
        <v>3033720.6069999998</v>
      </c>
      <c r="K6" s="245">
        <f t="shared" si="0"/>
        <v>0</v>
      </c>
      <c r="L6" s="245">
        <f t="shared" si="0"/>
        <v>2537283.17</v>
      </c>
      <c r="M6" s="245">
        <f t="shared" si="0"/>
        <v>284852.92199999996</v>
      </c>
      <c r="N6" s="245">
        <f t="shared" si="0"/>
        <v>211534.375</v>
      </c>
      <c r="O6" s="245">
        <f t="shared" si="0"/>
        <v>50.139999999999993</v>
      </c>
    </row>
    <row r="7" spans="1:15" ht="13.5" thickTop="1" thickBot="1">
      <c r="A7" s="862"/>
      <c r="B7" s="182" t="s">
        <v>12</v>
      </c>
      <c r="C7" s="182" t="s">
        <v>13</v>
      </c>
      <c r="D7" s="354">
        <f>SUM(E7:I7)</f>
        <v>0</v>
      </c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247">
        <f>SUM(K7:O7)</f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</row>
    <row r="8" spans="1:15" ht="13.5" thickTop="1" thickBot="1">
      <c r="A8" s="862"/>
      <c r="B8" s="182" t="s">
        <v>14</v>
      </c>
      <c r="C8" s="182" t="s">
        <v>15</v>
      </c>
      <c r="D8" s="354">
        <f>SUM(E8:I8)</f>
        <v>1565465</v>
      </c>
      <c r="E8" s="356">
        <f>'6 месяцев'!E8+июль!E8</f>
        <v>0</v>
      </c>
      <c r="F8" s="356">
        <f>'6 месяцев'!F8+июль!F8</f>
        <v>1259875</v>
      </c>
      <c r="G8" s="356">
        <f>'6 месяцев'!G8+июль!G8</f>
        <v>101250</v>
      </c>
      <c r="H8" s="356">
        <f>'6 месяцев'!H8+июль!H8</f>
        <v>204270</v>
      </c>
      <c r="I8" s="356">
        <f>'6 месяцев'!I8+июль!I8</f>
        <v>70</v>
      </c>
      <c r="J8" s="247">
        <f>SUM(K8:O8)</f>
        <v>1287223.8009999997</v>
      </c>
      <c r="K8" s="356">
        <f>'6 месяцев'!K8+июль!K8</f>
        <v>0</v>
      </c>
      <c r="L8" s="356">
        <f>'6 месяцев'!L8+июль!L8</f>
        <v>1003765.338</v>
      </c>
      <c r="M8" s="356">
        <f>'6 месяцев'!M8+июль!M8</f>
        <v>91469.473999999987</v>
      </c>
      <c r="N8" s="356">
        <f>'6 месяцев'!N8+июль!N8</f>
        <v>191938.84899999999</v>
      </c>
      <c r="O8" s="356">
        <f>'6 месяцев'!O8+июль!O8</f>
        <v>50.139999999999993</v>
      </c>
    </row>
    <row r="9" spans="1:15" ht="13.5" thickTop="1" thickBot="1">
      <c r="A9" s="862"/>
      <c r="B9" s="182" t="s">
        <v>16</v>
      </c>
      <c r="C9" s="182" t="s">
        <v>17</v>
      </c>
      <c r="D9" s="354">
        <f t="shared" ref="D9:O9" si="1">SUM(D10:D11)</f>
        <v>85560</v>
      </c>
      <c r="E9" s="355">
        <f t="shared" si="1"/>
        <v>0</v>
      </c>
      <c r="F9" s="355">
        <f t="shared" si="1"/>
        <v>85560</v>
      </c>
      <c r="G9" s="355">
        <f t="shared" si="1"/>
        <v>0</v>
      </c>
      <c r="H9" s="355">
        <f t="shared" si="1"/>
        <v>0</v>
      </c>
      <c r="I9" s="355">
        <f t="shared" si="1"/>
        <v>0</v>
      </c>
      <c r="J9" s="247">
        <f t="shared" si="1"/>
        <v>70481.452999999994</v>
      </c>
      <c r="K9" s="248">
        <f t="shared" si="1"/>
        <v>0</v>
      </c>
      <c r="L9" s="248">
        <f t="shared" si="1"/>
        <v>70481.452999999994</v>
      </c>
      <c r="M9" s="248">
        <f t="shared" si="1"/>
        <v>0</v>
      </c>
      <c r="N9" s="248">
        <f t="shared" si="1"/>
        <v>0</v>
      </c>
      <c r="O9" s="248">
        <f t="shared" si="1"/>
        <v>0</v>
      </c>
    </row>
    <row r="10" spans="1:15" ht="13.5" thickTop="1" thickBot="1">
      <c r="A10" s="862"/>
      <c r="B10" s="186" t="s">
        <v>18</v>
      </c>
      <c r="C10" s="187" t="s">
        <v>162</v>
      </c>
      <c r="D10" s="357">
        <f>SUM(F10:I10)</f>
        <v>75980</v>
      </c>
      <c r="E10" s="358"/>
      <c r="F10" s="356">
        <f>'6 месяцев'!F10+июль!F10</f>
        <v>75980</v>
      </c>
      <c r="G10" s="358"/>
      <c r="H10" s="358"/>
      <c r="I10" s="358"/>
      <c r="J10" s="251">
        <f>SUM(L10:O10)</f>
        <v>62685.532999999996</v>
      </c>
      <c r="K10" s="252"/>
      <c r="L10" s="356">
        <f>'6 месяцев'!L10+июль!L10</f>
        <v>62685.532999999996</v>
      </c>
      <c r="M10" s="252"/>
      <c r="N10" s="252"/>
      <c r="O10" s="252"/>
    </row>
    <row r="11" spans="1:15" ht="13.5" thickTop="1" thickBot="1">
      <c r="A11" s="862"/>
      <c r="B11" s="186" t="s">
        <v>19</v>
      </c>
      <c r="C11" s="187" t="s">
        <v>163</v>
      </c>
      <c r="D11" s="357">
        <f>SUM(F11:I11)</f>
        <v>9580</v>
      </c>
      <c r="E11" s="358"/>
      <c r="F11" s="356">
        <f>'6 месяцев'!F11+июль!F11</f>
        <v>9580</v>
      </c>
      <c r="G11" s="358"/>
      <c r="H11" s="358"/>
      <c r="I11" s="358"/>
      <c r="J11" s="251">
        <f>SUM(L11:O11)</f>
        <v>7795.920000000001</v>
      </c>
      <c r="K11" s="252"/>
      <c r="L11" s="356">
        <f>'6 месяцев'!L11+июль!L11</f>
        <v>7795.920000000001</v>
      </c>
      <c r="M11" s="252"/>
      <c r="N11" s="252"/>
      <c r="O11" s="252"/>
    </row>
    <row r="12" spans="1:15" ht="13.5" thickTop="1" thickBot="1">
      <c r="A12" s="862"/>
      <c r="B12" s="182" t="s">
        <v>20</v>
      </c>
      <c r="C12" s="182" t="s">
        <v>21</v>
      </c>
      <c r="D12" s="354">
        <f>SUM(E12:I12)</f>
        <v>1416595</v>
      </c>
      <c r="E12" s="355"/>
      <c r="F12" s="356">
        <f>'6 месяцев'!F12+июль!F12</f>
        <v>1147125</v>
      </c>
      <c r="G12" s="356">
        <f>'6 месяцев'!G12+июль!G12</f>
        <v>247530</v>
      </c>
      <c r="H12" s="356">
        <f>'6 месяцев'!H12+июль!H12</f>
        <v>21940</v>
      </c>
      <c r="I12" s="355"/>
      <c r="J12" s="247">
        <f>SUM(K12:O12)</f>
        <v>1674239.5530000003</v>
      </c>
      <c r="K12" s="248"/>
      <c r="L12" s="356">
        <f>'6 месяцев'!L12+июль!L12</f>
        <v>1463036.3790000002</v>
      </c>
      <c r="M12" s="356">
        <f>'6 месяцев'!M12+июль!M12</f>
        <v>191607.64799999999</v>
      </c>
      <c r="N12" s="356">
        <f>'6 месяцев'!N12+июль!N12</f>
        <v>19595.526000000002</v>
      </c>
      <c r="O12" s="248"/>
    </row>
    <row r="13" spans="1:15" ht="13.5" thickTop="1" thickBot="1">
      <c r="A13" s="862"/>
      <c r="B13" s="186" t="s">
        <v>22</v>
      </c>
      <c r="C13" s="187" t="s">
        <v>23</v>
      </c>
      <c r="D13" s="354">
        <f>SUM(E13:I13)</f>
        <v>21940</v>
      </c>
      <c r="E13" s="355"/>
      <c r="F13" s="358"/>
      <c r="G13" s="358"/>
      <c r="H13" s="358">
        <f>H12</f>
        <v>21940</v>
      </c>
      <c r="I13" s="358"/>
      <c r="J13" s="247">
        <f>SUM(K13:O13)</f>
        <v>19595.526000000002</v>
      </c>
      <c r="K13" s="248"/>
      <c r="L13" s="252"/>
      <c r="M13" s="252"/>
      <c r="N13" s="358">
        <f>N12</f>
        <v>19595.526000000002</v>
      </c>
      <c r="O13" s="252"/>
    </row>
    <row r="14" spans="1:15" ht="13.5" thickTop="1" thickBot="1">
      <c r="A14" s="862"/>
      <c r="B14" s="182" t="s">
        <v>24</v>
      </c>
      <c r="C14" s="182" t="s">
        <v>25</v>
      </c>
      <c r="D14" s="354">
        <f>SUM(E14:I14)</f>
        <v>10500</v>
      </c>
      <c r="E14" s="355"/>
      <c r="F14" s="355"/>
      <c r="G14" s="356">
        <f>'6 месяцев'!G14+июль!G14</f>
        <v>10500</v>
      </c>
      <c r="H14" s="355"/>
      <c r="I14" s="355"/>
      <c r="J14" s="247">
        <f>SUM(K14:O14)</f>
        <v>1775.7999999999993</v>
      </c>
      <c r="K14" s="248"/>
      <c r="L14" s="248"/>
      <c r="M14" s="356">
        <f>'6 месяцев'!M14+июль!M14</f>
        <v>1775.7999999999993</v>
      </c>
      <c r="N14" s="248"/>
      <c r="O14" s="248"/>
    </row>
    <row r="15" spans="1:15" ht="13.5" thickTop="1" thickBot="1">
      <c r="A15" s="862"/>
      <c r="B15" s="179" t="s">
        <v>26</v>
      </c>
      <c r="C15" s="179" t="s">
        <v>27</v>
      </c>
      <c r="D15" s="352">
        <f t="shared" ref="D15:O15" si="2">SUM(D16:D18,D21)</f>
        <v>708360</v>
      </c>
      <c r="E15" s="359">
        <f t="shared" si="2"/>
        <v>0</v>
      </c>
      <c r="F15" s="359">
        <f t="shared" si="2"/>
        <v>705300</v>
      </c>
      <c r="G15" s="359">
        <f t="shared" si="2"/>
        <v>2750</v>
      </c>
      <c r="H15" s="359">
        <f t="shared" si="2"/>
        <v>120</v>
      </c>
      <c r="I15" s="359">
        <f t="shared" si="2"/>
        <v>190</v>
      </c>
      <c r="J15" s="244">
        <f t="shared" si="2"/>
        <v>786985.49699999974</v>
      </c>
      <c r="K15" s="253">
        <f t="shared" si="2"/>
        <v>0</v>
      </c>
      <c r="L15" s="253">
        <f t="shared" si="2"/>
        <v>784632.41999999993</v>
      </c>
      <c r="M15" s="253">
        <f t="shared" si="2"/>
        <v>2048.2510000000002</v>
      </c>
      <c r="N15" s="253">
        <f t="shared" si="2"/>
        <v>166.78800000000001</v>
      </c>
      <c r="O15" s="253">
        <f t="shared" si="2"/>
        <v>138.03800000000001</v>
      </c>
    </row>
    <row r="16" spans="1:15" ht="13.5" thickTop="1" thickBot="1">
      <c r="A16" s="862"/>
      <c r="B16" s="182" t="s">
        <v>28</v>
      </c>
      <c r="C16" s="182" t="s">
        <v>29</v>
      </c>
      <c r="D16" s="354">
        <f>SUM(E16:I16)</f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247">
        <f>SUM(K16:O16)</f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</row>
    <row r="17" spans="1:15" ht="13.5" thickTop="1" thickBot="1">
      <c r="A17" s="862"/>
      <c r="B17" s="182" t="s">
        <v>30</v>
      </c>
      <c r="C17" s="182" t="s">
        <v>31</v>
      </c>
      <c r="D17" s="354">
        <f>SUM(E17:I17)</f>
        <v>670320</v>
      </c>
      <c r="E17" s="356">
        <f>'6 месяцев'!E17+июль!E17</f>
        <v>0</v>
      </c>
      <c r="F17" s="356">
        <f>'6 месяцев'!F17+июль!F17</f>
        <v>670010</v>
      </c>
      <c r="G17" s="356">
        <f>'6 месяцев'!G17+июль!G17</f>
        <v>0</v>
      </c>
      <c r="H17" s="356">
        <f>'6 месяцев'!H17+июль!H17</f>
        <v>120</v>
      </c>
      <c r="I17" s="356">
        <f>'6 месяцев'!I17+июль!I17</f>
        <v>190</v>
      </c>
      <c r="J17" s="247">
        <f>SUM(K17:O17)</f>
        <v>735536.34099999978</v>
      </c>
      <c r="K17" s="356">
        <f>'6 месяцев'!K17+июль!K17</f>
        <v>0</v>
      </c>
      <c r="L17" s="356">
        <f>'6 месяцев'!L17+июль!L17</f>
        <v>735231.2</v>
      </c>
      <c r="M17" s="356">
        <f>'6 месяцев'!M17+июль!M17</f>
        <v>0.31500000000000006</v>
      </c>
      <c r="N17" s="356">
        <f>'6 месяцев'!N17+июль!N17</f>
        <v>166.78800000000001</v>
      </c>
      <c r="O17" s="356">
        <f>'6 месяцев'!O17+июль!O17</f>
        <v>138.03800000000001</v>
      </c>
    </row>
    <row r="18" spans="1:15" ht="13.5" thickTop="1" thickBot="1">
      <c r="A18" s="862"/>
      <c r="B18" s="182" t="s">
        <v>32</v>
      </c>
      <c r="C18" s="182" t="s">
        <v>33</v>
      </c>
      <c r="D18" s="354">
        <f t="shared" ref="D18:O18" si="3">SUM(D19:D20)</f>
        <v>23790</v>
      </c>
      <c r="E18" s="355">
        <f t="shared" si="3"/>
        <v>0</v>
      </c>
      <c r="F18" s="355">
        <f t="shared" si="3"/>
        <v>22370</v>
      </c>
      <c r="G18" s="355">
        <f t="shared" si="3"/>
        <v>1420</v>
      </c>
      <c r="H18" s="355">
        <f t="shared" si="3"/>
        <v>0</v>
      </c>
      <c r="I18" s="355">
        <f t="shared" si="3"/>
        <v>0</v>
      </c>
      <c r="J18" s="247">
        <f t="shared" si="3"/>
        <v>31935.733</v>
      </c>
      <c r="K18" s="248">
        <f t="shared" si="3"/>
        <v>0</v>
      </c>
      <c r="L18" s="248">
        <f t="shared" si="3"/>
        <v>30704.269999999997</v>
      </c>
      <c r="M18" s="248">
        <f t="shared" si="3"/>
        <v>1231.463</v>
      </c>
      <c r="N18" s="248">
        <f t="shared" si="3"/>
        <v>0</v>
      </c>
      <c r="O18" s="248">
        <f t="shared" si="3"/>
        <v>0</v>
      </c>
    </row>
    <row r="19" spans="1:15" ht="13.5" thickTop="1" thickBot="1">
      <c r="A19" s="862"/>
      <c r="B19" s="186" t="s">
        <v>34</v>
      </c>
      <c r="C19" s="187" t="s">
        <v>162</v>
      </c>
      <c r="D19" s="357">
        <f t="shared" ref="D19:D29" si="4">SUM(E19:I19)</f>
        <v>2040</v>
      </c>
      <c r="E19" s="358"/>
      <c r="F19" s="356">
        <f>'6 месяцев'!F19+июль!F19</f>
        <v>2040</v>
      </c>
      <c r="G19" s="358">
        <v>0</v>
      </c>
      <c r="H19" s="358"/>
      <c r="I19" s="358"/>
      <c r="J19" s="251">
        <f t="shared" ref="J19:J29" si="5">SUM(K19:O19)</f>
        <v>13079.828</v>
      </c>
      <c r="K19" s="252"/>
      <c r="L19" s="356">
        <f>'6 месяцев'!L19+июль!L19</f>
        <v>13079.828</v>
      </c>
      <c r="M19" s="252"/>
      <c r="N19" s="252"/>
      <c r="O19" s="252"/>
    </row>
    <row r="20" spans="1:15" ht="13.5" thickTop="1" thickBot="1">
      <c r="A20" s="862"/>
      <c r="B20" s="190" t="s">
        <v>35</v>
      </c>
      <c r="C20" s="187" t="s">
        <v>163</v>
      </c>
      <c r="D20" s="357">
        <f t="shared" si="4"/>
        <v>21750</v>
      </c>
      <c r="E20" s="358"/>
      <c r="F20" s="356">
        <f>'6 месяцев'!F20+июль!F20</f>
        <v>20330</v>
      </c>
      <c r="G20" s="356">
        <f>'6 месяцев'!G20+июль!G20</f>
        <v>1420</v>
      </c>
      <c r="H20" s="358"/>
      <c r="I20" s="358"/>
      <c r="J20" s="251">
        <f t="shared" si="5"/>
        <v>18855.904999999999</v>
      </c>
      <c r="K20" s="252"/>
      <c r="L20" s="356">
        <f>'6 месяцев'!L20+июль!L20</f>
        <v>17624.441999999999</v>
      </c>
      <c r="M20" s="356">
        <f>'6 месяцев'!M20+июль!M20</f>
        <v>1231.463</v>
      </c>
      <c r="N20" s="252"/>
      <c r="O20" s="252"/>
    </row>
    <row r="21" spans="1:15" ht="13.5" thickTop="1" thickBot="1">
      <c r="A21" s="862"/>
      <c r="B21" s="182" t="s">
        <v>36</v>
      </c>
      <c r="C21" s="182" t="s">
        <v>37</v>
      </c>
      <c r="D21" s="354">
        <f t="shared" si="4"/>
        <v>14250</v>
      </c>
      <c r="E21" s="355"/>
      <c r="F21" s="356">
        <f>'6 месяцев'!F21+июль!F21</f>
        <v>12920</v>
      </c>
      <c r="G21" s="356">
        <f>'6 месяцев'!G21+июль!G21</f>
        <v>1330</v>
      </c>
      <c r="H21" s="355"/>
      <c r="I21" s="355"/>
      <c r="J21" s="247">
        <f t="shared" si="5"/>
        <v>19513.423000000003</v>
      </c>
      <c r="K21" s="248"/>
      <c r="L21" s="356">
        <f>'6 месяцев'!L21+июль!L21</f>
        <v>18696.95</v>
      </c>
      <c r="M21" s="356">
        <f>'6 месяцев'!M21+июль!M21</f>
        <v>816.47299999999996</v>
      </c>
      <c r="N21" s="248"/>
      <c r="O21" s="248"/>
    </row>
    <row r="22" spans="1:15" s="17" customFormat="1" ht="13.5" thickTop="1" thickBot="1">
      <c r="A22" s="862"/>
      <c r="B22" s="232" t="s">
        <v>38</v>
      </c>
      <c r="C22" s="232" t="s">
        <v>39</v>
      </c>
      <c r="D22" s="361">
        <f t="shared" si="4"/>
        <v>2369760</v>
      </c>
      <c r="E22" s="361">
        <f>SUM(E23:E25,E28,E29)</f>
        <v>0</v>
      </c>
      <c r="F22" s="361">
        <f>SUM(F23:F25,F28,F29)</f>
        <v>1787260</v>
      </c>
      <c r="G22" s="361">
        <f>SUM(G23:G25,G28,G29)</f>
        <v>356530</v>
      </c>
      <c r="H22" s="361">
        <f>SUM(H23:H25,H28,H29)</f>
        <v>226090</v>
      </c>
      <c r="I22" s="361">
        <f>SUM(I23:I25,I28,I29)</f>
        <v>-120</v>
      </c>
      <c r="J22" s="256">
        <f t="shared" si="5"/>
        <v>2246735.11</v>
      </c>
      <c r="K22" s="256">
        <f>SUM(K23:K25,K28,K29)</f>
        <v>0</v>
      </c>
      <c r="L22" s="256">
        <f>SUM(L23:L25,L28,L29)</f>
        <v>1752650.7500000002</v>
      </c>
      <c r="M22" s="256">
        <f>SUM(M23:M25,M28,M29)</f>
        <v>282804.67099999997</v>
      </c>
      <c r="N22" s="256">
        <f>SUM(N23:N25,N28,N29)</f>
        <v>211367.587</v>
      </c>
      <c r="O22" s="256">
        <f>SUM(O23:O25,O28,O29)</f>
        <v>-87.898000000000025</v>
      </c>
    </row>
    <row r="23" spans="1:15" ht="13.5" thickTop="1" thickBot="1">
      <c r="A23" s="862"/>
      <c r="B23" s="182" t="s">
        <v>40</v>
      </c>
      <c r="C23" s="182" t="s">
        <v>41</v>
      </c>
      <c r="D23" s="354">
        <f t="shared" si="4"/>
        <v>0</v>
      </c>
      <c r="E23" s="354">
        <f t="shared" ref="E23:I28" si="6">E7-E16</f>
        <v>0</v>
      </c>
      <c r="F23" s="354">
        <f t="shared" si="6"/>
        <v>0</v>
      </c>
      <c r="G23" s="354">
        <f t="shared" si="6"/>
        <v>0</v>
      </c>
      <c r="H23" s="354">
        <f t="shared" si="6"/>
        <v>0</v>
      </c>
      <c r="I23" s="354">
        <f t="shared" si="6"/>
        <v>0</v>
      </c>
      <c r="J23" s="247">
        <f t="shared" si="5"/>
        <v>0</v>
      </c>
      <c r="K23" s="247">
        <f t="shared" ref="K23:O28" si="7">K7-K16</f>
        <v>0</v>
      </c>
      <c r="L23" s="247">
        <f t="shared" si="7"/>
        <v>0</v>
      </c>
      <c r="M23" s="247">
        <f t="shared" si="7"/>
        <v>0</v>
      </c>
      <c r="N23" s="247">
        <f t="shared" si="7"/>
        <v>0</v>
      </c>
      <c r="O23" s="247">
        <f t="shared" si="7"/>
        <v>0</v>
      </c>
    </row>
    <row r="24" spans="1:15" ht="13.5" thickTop="1" thickBot="1">
      <c r="A24" s="862"/>
      <c r="B24" s="182" t="s">
        <v>42</v>
      </c>
      <c r="C24" s="182" t="s">
        <v>43</v>
      </c>
      <c r="D24" s="354">
        <f t="shared" si="4"/>
        <v>895145</v>
      </c>
      <c r="E24" s="354">
        <f t="shared" si="6"/>
        <v>0</v>
      </c>
      <c r="F24" s="354">
        <f t="shared" si="6"/>
        <v>589865</v>
      </c>
      <c r="G24" s="354">
        <f t="shared" si="6"/>
        <v>101250</v>
      </c>
      <c r="H24" s="354">
        <f t="shared" si="6"/>
        <v>204150</v>
      </c>
      <c r="I24" s="354">
        <f t="shared" si="6"/>
        <v>-120</v>
      </c>
      <c r="J24" s="247">
        <f t="shared" si="5"/>
        <v>551687.46</v>
      </c>
      <c r="K24" s="247">
        <f t="shared" si="7"/>
        <v>0</v>
      </c>
      <c r="L24" s="247">
        <f t="shared" si="7"/>
        <v>268534.13800000004</v>
      </c>
      <c r="M24" s="247">
        <f t="shared" si="7"/>
        <v>91469.158999999985</v>
      </c>
      <c r="N24" s="247">
        <f t="shared" si="7"/>
        <v>191772.06099999999</v>
      </c>
      <c r="O24" s="247">
        <f t="shared" si="7"/>
        <v>-87.898000000000025</v>
      </c>
    </row>
    <row r="25" spans="1:15" ht="13.5" thickTop="1" thickBot="1">
      <c r="A25" s="862"/>
      <c r="B25" s="182" t="s">
        <v>44</v>
      </c>
      <c r="C25" s="182" t="s">
        <v>45</v>
      </c>
      <c r="D25" s="354">
        <f t="shared" si="4"/>
        <v>61770</v>
      </c>
      <c r="E25" s="354">
        <f t="shared" si="6"/>
        <v>0</v>
      </c>
      <c r="F25" s="354">
        <f t="shared" si="6"/>
        <v>63190</v>
      </c>
      <c r="G25" s="354">
        <f t="shared" si="6"/>
        <v>-1420</v>
      </c>
      <c r="H25" s="354">
        <f t="shared" si="6"/>
        <v>0</v>
      </c>
      <c r="I25" s="354">
        <f t="shared" si="6"/>
        <v>0</v>
      </c>
      <c r="J25" s="247">
        <f t="shared" si="5"/>
        <v>38545.719999999994</v>
      </c>
      <c r="K25" s="247">
        <f t="shared" si="7"/>
        <v>0</v>
      </c>
      <c r="L25" s="247">
        <f t="shared" si="7"/>
        <v>39777.182999999997</v>
      </c>
      <c r="M25" s="247">
        <f t="shared" si="7"/>
        <v>-1231.463</v>
      </c>
      <c r="N25" s="247">
        <f t="shared" si="7"/>
        <v>0</v>
      </c>
      <c r="O25" s="247">
        <f t="shared" si="7"/>
        <v>0</v>
      </c>
    </row>
    <row r="26" spans="1:15" ht="13.5" thickTop="1" thickBot="1">
      <c r="A26" s="862"/>
      <c r="B26" s="186" t="s">
        <v>46</v>
      </c>
      <c r="C26" s="187" t="s">
        <v>162</v>
      </c>
      <c r="D26" s="354">
        <f t="shared" si="4"/>
        <v>73940</v>
      </c>
      <c r="E26" s="357">
        <f t="shared" si="6"/>
        <v>0</v>
      </c>
      <c r="F26" s="357">
        <f t="shared" si="6"/>
        <v>73940</v>
      </c>
      <c r="G26" s="357">
        <f t="shared" si="6"/>
        <v>0</v>
      </c>
      <c r="H26" s="357">
        <f t="shared" si="6"/>
        <v>0</v>
      </c>
      <c r="I26" s="357">
        <f t="shared" si="6"/>
        <v>0</v>
      </c>
      <c r="J26" s="247">
        <f t="shared" si="5"/>
        <v>49605.704999999994</v>
      </c>
      <c r="K26" s="251">
        <f t="shared" si="7"/>
        <v>0</v>
      </c>
      <c r="L26" s="251">
        <f t="shared" si="7"/>
        <v>49605.704999999994</v>
      </c>
      <c r="M26" s="251">
        <f t="shared" si="7"/>
        <v>0</v>
      </c>
      <c r="N26" s="251">
        <f t="shared" si="7"/>
        <v>0</v>
      </c>
      <c r="O26" s="251">
        <f t="shared" si="7"/>
        <v>0</v>
      </c>
    </row>
    <row r="27" spans="1:15" ht="13.5" thickTop="1" thickBot="1">
      <c r="A27" s="862"/>
      <c r="B27" s="186" t="s">
        <v>47</v>
      </c>
      <c r="C27" s="187" t="s">
        <v>163</v>
      </c>
      <c r="D27" s="354">
        <f t="shared" si="4"/>
        <v>-12170</v>
      </c>
      <c r="E27" s="357">
        <f t="shared" si="6"/>
        <v>0</v>
      </c>
      <c r="F27" s="357">
        <f t="shared" si="6"/>
        <v>-10750</v>
      </c>
      <c r="G27" s="357">
        <f t="shared" si="6"/>
        <v>-1420</v>
      </c>
      <c r="H27" s="357">
        <f t="shared" si="6"/>
        <v>0</v>
      </c>
      <c r="I27" s="357">
        <f t="shared" si="6"/>
        <v>0</v>
      </c>
      <c r="J27" s="247">
        <f t="shared" si="5"/>
        <v>-11059.984999999997</v>
      </c>
      <c r="K27" s="251">
        <f t="shared" si="7"/>
        <v>0</v>
      </c>
      <c r="L27" s="251">
        <f t="shared" si="7"/>
        <v>-9828.5219999999972</v>
      </c>
      <c r="M27" s="251">
        <f t="shared" si="7"/>
        <v>-1231.463</v>
      </c>
      <c r="N27" s="251">
        <f t="shared" si="7"/>
        <v>0</v>
      </c>
      <c r="O27" s="251">
        <f t="shared" si="7"/>
        <v>0</v>
      </c>
    </row>
    <row r="28" spans="1:15" ht="13.5" thickTop="1" thickBot="1">
      <c r="A28" s="862"/>
      <c r="B28" s="182" t="s">
        <v>48</v>
      </c>
      <c r="C28" s="182" t="s">
        <v>49</v>
      </c>
      <c r="D28" s="354">
        <f t="shared" si="4"/>
        <v>1402345</v>
      </c>
      <c r="E28" s="354">
        <f t="shared" si="6"/>
        <v>0</v>
      </c>
      <c r="F28" s="354">
        <f t="shared" si="6"/>
        <v>1134205</v>
      </c>
      <c r="G28" s="354">
        <f t="shared" si="6"/>
        <v>246200</v>
      </c>
      <c r="H28" s="354">
        <f t="shared" si="6"/>
        <v>21940</v>
      </c>
      <c r="I28" s="354">
        <f t="shared" si="6"/>
        <v>0</v>
      </c>
      <c r="J28" s="247">
        <f t="shared" si="5"/>
        <v>1654726.1300000004</v>
      </c>
      <c r="K28" s="247">
        <f t="shared" si="7"/>
        <v>0</v>
      </c>
      <c r="L28" s="247">
        <f t="shared" si="7"/>
        <v>1444339.4290000002</v>
      </c>
      <c r="M28" s="247">
        <f t="shared" si="7"/>
        <v>190791.17499999999</v>
      </c>
      <c r="N28" s="247">
        <f t="shared" si="7"/>
        <v>19595.526000000002</v>
      </c>
      <c r="O28" s="247">
        <f t="shared" si="7"/>
        <v>0</v>
      </c>
    </row>
    <row r="29" spans="1:15" ht="13.5" thickTop="1" thickBot="1">
      <c r="A29" s="862"/>
      <c r="B29" s="182" t="s">
        <v>50</v>
      </c>
      <c r="C29" s="182" t="s">
        <v>25</v>
      </c>
      <c r="D29" s="354">
        <f t="shared" si="4"/>
        <v>10500</v>
      </c>
      <c r="E29" s="354">
        <f>E14</f>
        <v>0</v>
      </c>
      <c r="F29" s="354">
        <f>F14</f>
        <v>0</v>
      </c>
      <c r="G29" s="354">
        <f>G14</f>
        <v>10500</v>
      </c>
      <c r="H29" s="354">
        <f>H14</f>
        <v>0</v>
      </c>
      <c r="I29" s="354">
        <f>I14</f>
        <v>0</v>
      </c>
      <c r="J29" s="247">
        <f t="shared" si="5"/>
        <v>1775.7999999999993</v>
      </c>
      <c r="K29" s="247">
        <f>K14</f>
        <v>0</v>
      </c>
      <c r="L29" s="247">
        <f>L14</f>
        <v>0</v>
      </c>
      <c r="M29" s="247">
        <f>M14</f>
        <v>1775.7999999999993</v>
      </c>
      <c r="N29" s="247">
        <f>N14</f>
        <v>0</v>
      </c>
      <c r="O29" s="247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362">
        <f>SUM(F30:I30)</f>
        <v>2879144</v>
      </c>
      <c r="E30" s="362"/>
      <c r="F30" s="362">
        <f>SUM(F31:F33)</f>
        <v>0</v>
      </c>
      <c r="G30" s="362">
        <f>SUM(G31:G33)</f>
        <v>365274</v>
      </c>
      <c r="H30" s="362">
        <f>SUM(H31:H33)</f>
        <v>1519720</v>
      </c>
      <c r="I30" s="362">
        <f>SUM(I31:I33)</f>
        <v>994150</v>
      </c>
      <c r="J30" s="258">
        <f>SUM(L30:O30)</f>
        <v>2760775.8768000002</v>
      </c>
      <c r="K30" s="258"/>
      <c r="L30" s="258">
        <f>SUM(L31:L33)</f>
        <v>0</v>
      </c>
      <c r="M30" s="258">
        <f>SUM(M31:M33)</f>
        <v>331306.1152</v>
      </c>
      <c r="N30" s="258">
        <f>SUM(N31:N33)</f>
        <v>1453125.4706000001</v>
      </c>
      <c r="O30" s="258">
        <f>SUM(O31:O33)</f>
        <v>976344.2910000002</v>
      </c>
    </row>
    <row r="31" spans="1:15" ht="13.5" thickTop="1" thickBot="1">
      <c r="A31" s="862"/>
      <c r="B31" s="182" t="s">
        <v>54</v>
      </c>
      <c r="C31" s="182" t="s">
        <v>55</v>
      </c>
      <c r="D31" s="354">
        <f t="shared" ref="D31:D43" si="8">SUM(E31:I31)</f>
        <v>1217580</v>
      </c>
      <c r="E31" s="363"/>
      <c r="F31" s="364"/>
      <c r="G31" s="354">
        <f>F36</f>
        <v>365274</v>
      </c>
      <c r="H31" s="354">
        <f>F37</f>
        <v>852306</v>
      </c>
      <c r="I31" s="363"/>
      <c r="J31" s="247">
        <f t="shared" ref="J31:J43" si="9">SUM(K31:O31)</f>
        <v>1214290.1156000001</v>
      </c>
      <c r="K31" s="259"/>
      <c r="L31" s="260"/>
      <c r="M31" s="247">
        <f>L36</f>
        <v>331306.1152</v>
      </c>
      <c r="N31" s="247">
        <f>L37</f>
        <v>882984.00040000014</v>
      </c>
      <c r="O31" s="259"/>
    </row>
    <row r="32" spans="1:15" ht="13.5" thickTop="1" thickBot="1">
      <c r="A32" s="862"/>
      <c r="B32" s="182" t="s">
        <v>56</v>
      </c>
      <c r="C32" s="182" t="s">
        <v>57</v>
      </c>
      <c r="D32" s="354">
        <f t="shared" si="8"/>
        <v>667414</v>
      </c>
      <c r="E32" s="363"/>
      <c r="F32" s="363"/>
      <c r="G32" s="363"/>
      <c r="H32" s="354">
        <f>G37</f>
        <v>667414</v>
      </c>
      <c r="I32" s="364">
        <f>G43</f>
        <v>0</v>
      </c>
      <c r="J32" s="247">
        <f t="shared" si="9"/>
        <v>570141.4702000001</v>
      </c>
      <c r="K32" s="259"/>
      <c r="L32" s="259"/>
      <c r="M32" s="259"/>
      <c r="N32" s="247">
        <f>M37</f>
        <v>570141.4702000001</v>
      </c>
      <c r="O32" s="260">
        <f>M43</f>
        <v>0</v>
      </c>
    </row>
    <row r="33" spans="1:15" ht="13.5" thickTop="1" thickBot="1">
      <c r="A33" s="862"/>
      <c r="B33" s="182" t="s">
        <v>58</v>
      </c>
      <c r="C33" s="182" t="s">
        <v>59</v>
      </c>
      <c r="D33" s="354">
        <f t="shared" si="8"/>
        <v>994150</v>
      </c>
      <c r="E33" s="363"/>
      <c r="F33" s="363"/>
      <c r="G33" s="363"/>
      <c r="H33" s="363"/>
      <c r="I33" s="354">
        <f>G38+H38</f>
        <v>994150</v>
      </c>
      <c r="J33" s="247">
        <f t="shared" si="9"/>
        <v>976344.2910000002</v>
      </c>
      <c r="K33" s="259"/>
      <c r="L33" s="259"/>
      <c r="M33" s="259"/>
      <c r="N33" s="259"/>
      <c r="O33" s="247">
        <f>M38+N38</f>
        <v>976344.2910000002</v>
      </c>
    </row>
    <row r="34" spans="1:15" ht="13.5" thickTop="1" thickBot="1">
      <c r="A34" s="862"/>
      <c r="B34" s="179" t="s">
        <v>60</v>
      </c>
      <c r="C34" s="179" t="s">
        <v>61</v>
      </c>
      <c r="D34" s="362">
        <f t="shared" si="8"/>
        <v>2879144</v>
      </c>
      <c r="E34" s="362"/>
      <c r="F34" s="362">
        <f>SUM(F35:F38)</f>
        <v>1217580</v>
      </c>
      <c r="G34" s="362">
        <f>SUM(G35:G38)</f>
        <v>667414</v>
      </c>
      <c r="H34" s="362">
        <f>SUM(H35:H38)</f>
        <v>994150</v>
      </c>
      <c r="I34" s="285">
        <f>SUM(I35:I38)</f>
        <v>0</v>
      </c>
      <c r="J34" s="258">
        <f t="shared" si="9"/>
        <v>2760775.8768000007</v>
      </c>
      <c r="K34" s="258"/>
      <c r="L34" s="258">
        <f>SUM(L35:L38)</f>
        <v>1214290.1156000001</v>
      </c>
      <c r="M34" s="258">
        <f>SUM(M35:M38)</f>
        <v>570141.4702000001</v>
      </c>
      <c r="N34" s="258">
        <f>SUM(N35:N38)</f>
        <v>976344.2910000002</v>
      </c>
      <c r="O34" s="261">
        <f>SUM(O35:O38)</f>
        <v>0</v>
      </c>
    </row>
    <row r="35" spans="1:15" ht="13.5" thickTop="1" thickBot="1">
      <c r="A35" s="862"/>
      <c r="B35" s="182" t="s">
        <v>62</v>
      </c>
      <c r="C35" s="182" t="s">
        <v>63</v>
      </c>
      <c r="D35" s="354">
        <f t="shared" si="8"/>
        <v>0</v>
      </c>
      <c r="E35" s="364"/>
      <c r="F35" s="363"/>
      <c r="G35" s="363"/>
      <c r="H35" s="363"/>
      <c r="I35" s="363"/>
      <c r="J35" s="247">
        <f t="shared" si="9"/>
        <v>0</v>
      </c>
      <c r="K35" s="260"/>
      <c r="L35" s="259"/>
      <c r="M35" s="259"/>
      <c r="N35" s="259"/>
      <c r="O35" s="259"/>
    </row>
    <row r="36" spans="1:15" ht="13.5" thickTop="1" thickBot="1">
      <c r="A36" s="862"/>
      <c r="B36" s="182" t="s">
        <v>64</v>
      </c>
      <c r="C36" s="182" t="s">
        <v>65</v>
      </c>
      <c r="D36" s="354">
        <f t="shared" si="8"/>
        <v>365274</v>
      </c>
      <c r="E36" s="354"/>
      <c r="F36" s="356">
        <f>'6 месяцев'!F36+июль!F36</f>
        <v>365274</v>
      </c>
      <c r="G36" s="259"/>
      <c r="H36" s="259"/>
      <c r="I36" s="363"/>
      <c r="J36" s="247">
        <f t="shared" si="9"/>
        <v>331306.1152</v>
      </c>
      <c r="K36" s="247"/>
      <c r="L36" s="356">
        <f>'6 месяцев'!L36+июль!L36</f>
        <v>331306.1152</v>
      </c>
      <c r="M36" s="259"/>
      <c r="N36" s="259"/>
      <c r="O36" s="259"/>
    </row>
    <row r="37" spans="1:15" ht="13.5" thickTop="1" thickBot="1">
      <c r="A37" s="862"/>
      <c r="B37" s="182" t="s">
        <v>66</v>
      </c>
      <c r="C37" s="182" t="s">
        <v>67</v>
      </c>
      <c r="D37" s="354">
        <f t="shared" si="8"/>
        <v>1519720</v>
      </c>
      <c r="E37" s="354"/>
      <c r="F37" s="356">
        <f>'6 месяцев'!F37+июль!F37</f>
        <v>852306</v>
      </c>
      <c r="G37" s="356">
        <f>'6 месяцев'!G37+июль!G37</f>
        <v>667414</v>
      </c>
      <c r="H37" s="259"/>
      <c r="I37" s="363"/>
      <c r="J37" s="247">
        <f t="shared" si="9"/>
        <v>1453125.4706000001</v>
      </c>
      <c r="K37" s="247"/>
      <c r="L37" s="356">
        <f>'6 месяцев'!L37+июль!L37</f>
        <v>882984.00040000014</v>
      </c>
      <c r="M37" s="356">
        <f>'6 месяцев'!M37+июль!M37</f>
        <v>570141.4702000001</v>
      </c>
      <c r="N37" s="259"/>
      <c r="O37" s="259"/>
    </row>
    <row r="38" spans="1:15" ht="13.5" thickTop="1" thickBot="1">
      <c r="A38" s="862"/>
      <c r="B38" s="182" t="s">
        <v>68</v>
      </c>
      <c r="C38" s="182" t="s">
        <v>69</v>
      </c>
      <c r="D38" s="354">
        <f t="shared" si="8"/>
        <v>994150</v>
      </c>
      <c r="E38" s="363"/>
      <c r="F38" s="259"/>
      <c r="G38" s="260"/>
      <c r="H38" s="356">
        <f>'6 месяцев'!H38+июль!H38</f>
        <v>994150</v>
      </c>
      <c r="I38" s="363"/>
      <c r="J38" s="247">
        <f t="shared" si="9"/>
        <v>976344.2910000002</v>
      </c>
      <c r="K38" s="259"/>
      <c r="L38" s="259"/>
      <c r="M38" s="260"/>
      <c r="N38" s="356">
        <f>'6 месяцев'!N38+июль!N38</f>
        <v>976344.2910000002</v>
      </c>
      <c r="O38" s="259"/>
    </row>
    <row r="39" spans="1:15" s="17" customFormat="1" ht="13.5" thickTop="1" thickBot="1">
      <c r="A39" s="862"/>
      <c r="B39" s="232" t="s">
        <v>70</v>
      </c>
      <c r="C39" s="232" t="s">
        <v>71</v>
      </c>
      <c r="D39" s="365">
        <f t="shared" si="8"/>
        <v>0</v>
      </c>
      <c r="E39" s="365"/>
      <c r="F39" s="365">
        <f>SUM(F40:F43)</f>
        <v>-1217580</v>
      </c>
      <c r="G39" s="365">
        <f>SUM(G40:G43)</f>
        <v>-302140</v>
      </c>
      <c r="H39" s="365">
        <f>SUM(H40:H43)</f>
        <v>525570</v>
      </c>
      <c r="I39" s="365">
        <f>SUM(I40:I43)</f>
        <v>994150</v>
      </c>
      <c r="J39" s="262">
        <f t="shared" si="9"/>
        <v>0</v>
      </c>
      <c r="K39" s="262"/>
      <c r="L39" s="262">
        <f>SUM(L40:L43)</f>
        <v>-1214290.1156000001</v>
      </c>
      <c r="M39" s="262">
        <f>SUM(M40:M43)</f>
        <v>-238835.3550000001</v>
      </c>
      <c r="N39" s="262">
        <f>SUM(N40:N43)</f>
        <v>476781.17959999992</v>
      </c>
      <c r="O39" s="262">
        <f>SUM(O40:O43)</f>
        <v>976344.2910000002</v>
      </c>
    </row>
    <row r="40" spans="1:15" ht="13.5" thickTop="1" thickBot="1">
      <c r="A40" s="862"/>
      <c r="B40" s="182" t="s">
        <v>72</v>
      </c>
      <c r="C40" s="182" t="s">
        <v>5</v>
      </c>
      <c r="D40" s="366">
        <f t="shared" si="8"/>
        <v>1217580</v>
      </c>
      <c r="E40" s="367"/>
      <c r="F40" s="367">
        <f>F31-F35</f>
        <v>0</v>
      </c>
      <c r="G40" s="367">
        <f>G31-G35</f>
        <v>365274</v>
      </c>
      <c r="H40" s="367">
        <f>H31-H35</f>
        <v>852306</v>
      </c>
      <c r="I40" s="368"/>
      <c r="J40" s="264">
        <f t="shared" si="9"/>
        <v>1214290.1156000001</v>
      </c>
      <c r="K40" s="265"/>
      <c r="L40" s="265">
        <f>L31-L35</f>
        <v>0</v>
      </c>
      <c r="M40" s="265">
        <f>M31-M35</f>
        <v>331306.1152</v>
      </c>
      <c r="N40" s="265">
        <f>N31-N35</f>
        <v>882984.00040000014</v>
      </c>
      <c r="O40" s="266"/>
    </row>
    <row r="41" spans="1:15" ht="13.5" thickTop="1" thickBot="1">
      <c r="A41" s="862"/>
      <c r="B41" s="182" t="s">
        <v>73</v>
      </c>
      <c r="C41" s="182" t="s">
        <v>74</v>
      </c>
      <c r="D41" s="366">
        <f t="shared" si="8"/>
        <v>302140</v>
      </c>
      <c r="E41" s="367">
        <f>E32-E36</f>
        <v>0</v>
      </c>
      <c r="F41" s="367">
        <f>F32-F36</f>
        <v>-365274</v>
      </c>
      <c r="G41" s="368"/>
      <c r="H41" s="367">
        <f>H32-H36</f>
        <v>667414</v>
      </c>
      <c r="I41" s="368"/>
      <c r="J41" s="264">
        <f t="shared" si="9"/>
        <v>238835.3550000001</v>
      </c>
      <c r="K41" s="265">
        <f>K32-K36</f>
        <v>0</v>
      </c>
      <c r="L41" s="265">
        <f>L32-L36</f>
        <v>-331306.1152</v>
      </c>
      <c r="M41" s="266"/>
      <c r="N41" s="265">
        <f>N32-N36</f>
        <v>570141.4702000001</v>
      </c>
      <c r="O41" s="266"/>
    </row>
    <row r="42" spans="1:15" ht="13.5" thickTop="1" thickBot="1">
      <c r="A42" s="862"/>
      <c r="B42" s="182" t="s">
        <v>75</v>
      </c>
      <c r="C42" s="182" t="s">
        <v>76</v>
      </c>
      <c r="D42" s="366">
        <f t="shared" si="8"/>
        <v>-525570</v>
      </c>
      <c r="E42" s="367">
        <f>E33-E37</f>
        <v>0</v>
      </c>
      <c r="F42" s="367">
        <f>F33-F37</f>
        <v>-852306</v>
      </c>
      <c r="G42" s="367">
        <f>G33-G37</f>
        <v>-667414</v>
      </c>
      <c r="H42" s="368"/>
      <c r="I42" s="367">
        <f>I33-I37</f>
        <v>994150</v>
      </c>
      <c r="J42" s="264">
        <f t="shared" si="9"/>
        <v>-476781.17959999992</v>
      </c>
      <c r="K42" s="265">
        <f>K33-K37</f>
        <v>0</v>
      </c>
      <c r="L42" s="265">
        <f>L33-L37</f>
        <v>-882984.00040000014</v>
      </c>
      <c r="M42" s="265">
        <f>M33-M37</f>
        <v>-570141.4702000001</v>
      </c>
      <c r="N42" s="266"/>
      <c r="O42" s="265">
        <f>O33-O37</f>
        <v>976344.2910000002</v>
      </c>
    </row>
    <row r="43" spans="1:15" ht="13.5" thickTop="1" thickBot="1">
      <c r="A43" s="862"/>
      <c r="B43" s="199" t="s">
        <v>77</v>
      </c>
      <c r="C43" s="199" t="s">
        <v>8</v>
      </c>
      <c r="D43" s="367">
        <f t="shared" si="8"/>
        <v>-994150</v>
      </c>
      <c r="E43" s="368"/>
      <c r="F43" s="368"/>
      <c r="G43" s="367"/>
      <c r="H43" s="367">
        <f>-H38</f>
        <v>-994150</v>
      </c>
      <c r="I43" s="368"/>
      <c r="J43" s="265">
        <f t="shared" si="9"/>
        <v>-976344.2910000002</v>
      </c>
      <c r="K43" s="266"/>
      <c r="L43" s="266"/>
      <c r="M43" s="265"/>
      <c r="N43" s="265">
        <f>-N38</f>
        <v>-976344.2910000002</v>
      </c>
      <c r="O43" s="266"/>
    </row>
    <row r="44" spans="1:15" ht="13.5" thickTop="1" thickBot="1">
      <c r="A44" s="177"/>
      <c r="B44" s="200" t="s">
        <v>78</v>
      </c>
      <c r="C44" s="200" t="s">
        <v>79</v>
      </c>
      <c r="D44" s="201">
        <f>D22</f>
        <v>2369760</v>
      </c>
      <c r="E44" s="201">
        <f>E22+E30</f>
        <v>0</v>
      </c>
      <c r="F44" s="201">
        <f>F22+F30</f>
        <v>1787260</v>
      </c>
      <c r="G44" s="201">
        <f>G22+G30</f>
        <v>721804</v>
      </c>
      <c r="H44" s="201">
        <f>H22+H30</f>
        <v>1745810</v>
      </c>
      <c r="I44" s="201">
        <f>I22+I30</f>
        <v>994030</v>
      </c>
      <c r="J44" s="201">
        <f>J22</f>
        <v>2246735.11</v>
      </c>
      <c r="K44" s="201">
        <f>K22+K30</f>
        <v>0</v>
      </c>
      <c r="L44" s="201">
        <f>L22+L30</f>
        <v>1752650.7500000002</v>
      </c>
      <c r="M44" s="201">
        <f>M22+M30</f>
        <v>614110.78619999997</v>
      </c>
      <c r="N44" s="201">
        <f>N22+N30</f>
        <v>1664493.0576000002</v>
      </c>
      <c r="O44" s="201">
        <f>O22+O30</f>
        <v>976256.39300000016</v>
      </c>
    </row>
    <row r="45" spans="1:15" ht="13.5" thickTop="1" thickBot="1">
      <c r="A45" s="177"/>
      <c r="B45" s="202" t="s">
        <v>80</v>
      </c>
      <c r="C45" s="202" t="s">
        <v>81</v>
      </c>
      <c r="D45" s="203">
        <f>D44</f>
        <v>2369760</v>
      </c>
      <c r="E45" s="203">
        <f>E144+E152+E34</f>
        <v>0</v>
      </c>
      <c r="F45" s="203">
        <f>F144+F152+F34-G49-H49-G73-H73-G78-H78-H54-H97-H109-G97-G102-H102-G109-G114-H114-G121-H121-G126-H126-G133-H133</f>
        <v>1087943.4231169499</v>
      </c>
      <c r="G45" s="203">
        <f>G144+G152+G34-H50-I50-H55-I55-H62-I62-H67-I67-H98-H74-H79-H86-H91-H103-H110-H115-H122-H127-H134</f>
        <v>642978.15209669108</v>
      </c>
      <c r="H45" s="203">
        <f>H144+H152+H34-I51-I56-I63-I68-I75-I80-I87-I92-I99-I104-I111-I116-I123-I128</f>
        <v>994156.82663061842</v>
      </c>
      <c r="I45" s="203">
        <f>I152+I144</f>
        <v>530508.10746083432</v>
      </c>
      <c r="J45" s="203">
        <f>J44</f>
        <v>2246735.11</v>
      </c>
      <c r="K45" s="203">
        <f>K144+K152+K34</f>
        <v>0</v>
      </c>
      <c r="L45" s="203">
        <f>L144+L152+L34-M49-N49-M73-N73-M78-N78-N54-N97-N109-M97-M102-N102-M109-M114-N114-M121-N121-M126-N126-M133-N133</f>
        <v>1082301.6537008251</v>
      </c>
      <c r="M45" s="203">
        <f>M144+M152+M34-N50-O50-N55-O55-N62-O62-N67-O67-N98-N74-N79-N86-N91-N103-N110-N115-N122-N127-N134</f>
        <v>559890.15495312412</v>
      </c>
      <c r="N45" s="203">
        <f>N144+N152+N34-O51-O56-O63-O68-O75-O80-O87-O92-O99-O104-O111-O116-O123-O128</f>
        <v>976350.99388344516</v>
      </c>
      <c r="O45" s="203">
        <f>O152+O144</f>
        <v>500139.12855400593</v>
      </c>
    </row>
    <row r="46" spans="1:15" ht="13.5" thickTop="1" thickBot="1">
      <c r="A46" s="862" t="s">
        <v>82</v>
      </c>
      <c r="B46" s="179" t="s">
        <v>83</v>
      </c>
      <c r="C46" s="179" t="s">
        <v>84</v>
      </c>
      <c r="D46" s="181">
        <f>SUM(E46:I46)</f>
        <v>1970130</v>
      </c>
      <c r="E46" s="322">
        <f>E47+E59+E71+E83+E95</f>
        <v>0</v>
      </c>
      <c r="F46" s="322">
        <f>F47+F59+F71+F83+F95+F107+F119+F131</f>
        <v>508500</v>
      </c>
      <c r="G46" s="322">
        <f>G47+G59+G71+G83+G95+G107+G119+G131</f>
        <v>24420</v>
      </c>
      <c r="H46" s="322">
        <f>H47+H59+H71+H83+H95+H107+H119+H131</f>
        <v>632480</v>
      </c>
      <c r="I46" s="322">
        <f>I47+I59+I71+I83+I95+I107+I119+I131</f>
        <v>804730</v>
      </c>
      <c r="J46" s="181">
        <f>SUM(K46:O46)</f>
        <v>1791280.8460000001</v>
      </c>
      <c r="K46" s="322">
        <f>K47+K59+K71+K83+K95</f>
        <v>0</v>
      </c>
      <c r="L46" s="322">
        <f>L47+L59+L71+L83+L95+L107+L119+L131</f>
        <v>479259.484</v>
      </c>
      <c r="M46" s="322">
        <f>M47+M59+M71+M83+M95+M107+M119+M131</f>
        <v>20622.340000000004</v>
      </c>
      <c r="N46" s="322">
        <f>N47+N59+N71+N83+N95+N107+N119+N131</f>
        <v>576579.73700000008</v>
      </c>
      <c r="O46" s="322">
        <f>O47+O59+O71+O83+O95+O107+O119+O131</f>
        <v>714819.28499999992</v>
      </c>
    </row>
    <row r="47" spans="1:15" s="3" customFormat="1" ht="13.5" thickTop="1" thickBot="1">
      <c r="A47" s="862"/>
      <c r="B47" s="270" t="s">
        <v>85</v>
      </c>
      <c r="C47" s="271" t="s">
        <v>86</v>
      </c>
      <c r="D47" s="369">
        <f t="shared" ref="D47:D77" si="10">SUM(E47:I47)</f>
        <v>1395760</v>
      </c>
      <c r="E47" s="356">
        <f>'6 месяцев'!E47+июль!E47</f>
        <v>0</v>
      </c>
      <c r="F47" s="356">
        <f>'6 месяцев'!F47+июль!F47</f>
        <v>7420</v>
      </c>
      <c r="G47" s="356">
        <f>'6 месяцев'!G47+июль!G47</f>
        <v>6880</v>
      </c>
      <c r="H47" s="356">
        <f>'6 месяцев'!H47+июль!H47</f>
        <v>580630</v>
      </c>
      <c r="I47" s="356">
        <f>'6 месяцев'!I47+июль!I47</f>
        <v>800830</v>
      </c>
      <c r="J47" s="272">
        <f t="shared" ref="J47:J76" si="11">SUM(K47:O47)</f>
        <v>1263885.6030000001</v>
      </c>
      <c r="K47" s="356">
        <f>'6 месяцев'!K47+июль!K47</f>
        <v>0</v>
      </c>
      <c r="L47" s="356">
        <f>'6 месяцев'!L47+июль!L47</f>
        <v>15588.528</v>
      </c>
      <c r="M47" s="356">
        <f>'6 месяцев'!M47+июль!M47</f>
        <v>5581.4010000000007</v>
      </c>
      <c r="N47" s="356">
        <f>'6 месяцев'!N47+июль!N47</f>
        <v>539466.01800000004</v>
      </c>
      <c r="O47" s="356">
        <f>'6 месяцев'!O47+июль!O47</f>
        <v>703249.65599999996</v>
      </c>
    </row>
    <row r="48" spans="1:15" ht="13.5" thickTop="1" thickBot="1">
      <c r="A48" s="862"/>
      <c r="B48" s="263" t="s">
        <v>87</v>
      </c>
      <c r="C48" s="263" t="s">
        <v>88</v>
      </c>
      <c r="D48" s="367">
        <f t="shared" si="10"/>
        <v>0</v>
      </c>
      <c r="E48" s="367"/>
      <c r="F48" s="367"/>
      <c r="G48" s="367"/>
      <c r="H48" s="367"/>
      <c r="I48" s="367"/>
      <c r="J48" s="265">
        <f t="shared" si="11"/>
        <v>0</v>
      </c>
      <c r="K48" s="265"/>
      <c r="L48" s="265"/>
      <c r="M48" s="265"/>
      <c r="N48" s="265"/>
      <c r="O48" s="265"/>
    </row>
    <row r="49" spans="1:15" ht="13.5" thickTop="1" thickBot="1">
      <c r="A49" s="862"/>
      <c r="B49" s="275"/>
      <c r="C49" s="276" t="s">
        <v>89</v>
      </c>
      <c r="D49" s="371">
        <f t="shared" si="10"/>
        <v>77800</v>
      </c>
      <c r="E49" s="372"/>
      <c r="F49" s="372"/>
      <c r="G49" s="371"/>
      <c r="H49" s="356">
        <f>'6 месяцев'!H49+июль!H49</f>
        <v>77800</v>
      </c>
      <c r="I49" s="372"/>
      <c r="J49" s="277">
        <f t="shared" si="11"/>
        <v>88983.175000000003</v>
      </c>
      <c r="K49" s="278"/>
      <c r="L49" s="278"/>
      <c r="M49" s="277"/>
      <c r="N49" s="356">
        <f>'6 месяцев'!N49+июль!N49</f>
        <v>88983.175000000003</v>
      </c>
      <c r="O49" s="278"/>
    </row>
    <row r="50" spans="1:15" ht="13.5" thickTop="1" thickBot="1">
      <c r="A50" s="862"/>
      <c r="B50" s="275"/>
      <c r="C50" s="276" t="s">
        <v>90</v>
      </c>
      <c r="D50" s="371">
        <f t="shared" si="10"/>
        <v>10500</v>
      </c>
      <c r="E50" s="372"/>
      <c r="F50" s="372"/>
      <c r="G50" s="372"/>
      <c r="H50" s="356">
        <f>'6 месяцев'!H50+июль!H50</f>
        <v>10500</v>
      </c>
      <c r="I50" s="371"/>
      <c r="J50" s="277">
        <f t="shared" si="11"/>
        <v>4176.7239999999993</v>
      </c>
      <c r="K50" s="278"/>
      <c r="L50" s="278"/>
      <c r="M50" s="278"/>
      <c r="N50" s="356">
        <f>'6 месяцев'!N50+июль!N50</f>
        <v>4176.7239999999993</v>
      </c>
      <c r="O50" s="277"/>
    </row>
    <row r="51" spans="1:15" ht="13.5" thickTop="1" thickBot="1">
      <c r="A51" s="862"/>
      <c r="B51" s="275"/>
      <c r="C51" s="276" t="s">
        <v>91</v>
      </c>
      <c r="D51" s="371">
        <f t="shared" si="10"/>
        <v>0</v>
      </c>
      <c r="E51" s="372"/>
      <c r="F51" s="372"/>
      <c r="G51" s="372"/>
      <c r="H51" s="372"/>
      <c r="I51" s="371"/>
      <c r="J51" s="277">
        <f t="shared" si="11"/>
        <v>0</v>
      </c>
      <c r="K51" s="278"/>
      <c r="L51" s="278"/>
      <c r="M51" s="278"/>
      <c r="N51" s="278"/>
      <c r="O51" s="277"/>
    </row>
    <row r="52" spans="1:15" ht="13.5" thickTop="1" thickBot="1">
      <c r="A52" s="862"/>
      <c r="B52" s="263" t="s">
        <v>92</v>
      </c>
      <c r="C52" s="263" t="s">
        <v>93</v>
      </c>
      <c r="D52" s="367">
        <f t="shared" si="10"/>
        <v>0</v>
      </c>
      <c r="E52" s="367"/>
      <c r="F52" s="367"/>
      <c r="G52" s="384"/>
      <c r="H52" s="384"/>
      <c r="I52" s="384"/>
      <c r="J52" s="265">
        <f t="shared" si="11"/>
        <v>0</v>
      </c>
      <c r="K52" s="387"/>
      <c r="L52" s="356"/>
      <c r="M52" s="356"/>
      <c r="N52" s="356"/>
      <c r="O52" s="356"/>
    </row>
    <row r="53" spans="1:15" ht="13.5" thickTop="1" thickBot="1">
      <c r="A53" s="862"/>
      <c r="B53" s="263" t="s">
        <v>94</v>
      </c>
      <c r="C53" s="263" t="s">
        <v>95</v>
      </c>
      <c r="D53" s="374">
        <f t="shared" si="10"/>
        <v>147054</v>
      </c>
      <c r="E53" s="376"/>
      <c r="F53" s="376"/>
      <c r="G53" s="356">
        <f>'6 месяцев'!G53+июль!G53</f>
        <v>5602</v>
      </c>
      <c r="H53" s="356">
        <f>'6 месяцев'!H53+июль!H53</f>
        <v>141452</v>
      </c>
      <c r="I53" s="367"/>
      <c r="J53" s="464">
        <f t="shared" si="11"/>
        <v>137839.65800000005</v>
      </c>
      <c r="K53" s="238"/>
      <c r="L53" s="238"/>
      <c r="M53" s="356">
        <f>'6 месяцев'!M53+июль!M53</f>
        <v>5581.4010000000007</v>
      </c>
      <c r="N53" s="356">
        <f>'6 месяцев'!N53+июль!N53</f>
        <v>132208.11700000003</v>
      </c>
      <c r="O53" s="356">
        <f>'6 месяцев'!O53+июль!O53</f>
        <v>50.14</v>
      </c>
    </row>
    <row r="54" spans="1:15" ht="13.5" thickTop="1" thickBot="1">
      <c r="A54" s="862"/>
      <c r="B54" s="275"/>
      <c r="C54" s="276" t="s">
        <v>89</v>
      </c>
      <c r="D54" s="371">
        <f t="shared" si="10"/>
        <v>8100</v>
      </c>
      <c r="E54" s="377"/>
      <c r="F54" s="377"/>
      <c r="G54" s="376"/>
      <c r="H54" s="356">
        <f>'6 месяцев'!H54+июль!H54</f>
        <v>8100</v>
      </c>
      <c r="I54" s="372"/>
      <c r="J54" s="277">
        <f t="shared" si="11"/>
        <v>33537.345999999998</v>
      </c>
      <c r="K54" s="282"/>
      <c r="L54" s="282"/>
      <c r="M54" s="238"/>
      <c r="N54" s="356">
        <f>'6 месяцев'!N54+июль!N54</f>
        <v>33537.345999999998</v>
      </c>
      <c r="O54" s="278"/>
    </row>
    <row r="55" spans="1:15" ht="13.5" thickTop="1" thickBot="1">
      <c r="A55" s="862"/>
      <c r="B55" s="275"/>
      <c r="C55" s="276" t="s">
        <v>90</v>
      </c>
      <c r="D55" s="371">
        <f t="shared" si="10"/>
        <v>0</v>
      </c>
      <c r="E55" s="372"/>
      <c r="F55" s="372"/>
      <c r="G55" s="372"/>
      <c r="H55" s="371"/>
      <c r="I55" s="371"/>
      <c r="J55" s="277">
        <f t="shared" si="11"/>
        <v>0</v>
      </c>
      <c r="K55" s="278"/>
      <c r="L55" s="278"/>
      <c r="M55" s="278"/>
      <c r="N55" s="277"/>
      <c r="O55" s="277"/>
    </row>
    <row r="56" spans="1:15" ht="13.5" thickTop="1" thickBot="1">
      <c r="A56" s="862"/>
      <c r="B56" s="275"/>
      <c r="C56" s="276" t="s">
        <v>91</v>
      </c>
      <c r="D56" s="371">
        <f t="shared" si="10"/>
        <v>0</v>
      </c>
      <c r="E56" s="372"/>
      <c r="F56" s="372"/>
      <c r="G56" s="372"/>
      <c r="H56" s="372"/>
      <c r="I56" s="371"/>
      <c r="J56" s="277">
        <f t="shared" si="11"/>
        <v>0</v>
      </c>
      <c r="K56" s="278"/>
      <c r="L56" s="278"/>
      <c r="M56" s="278"/>
      <c r="N56" s="278"/>
      <c r="O56" s="277"/>
    </row>
    <row r="57" spans="1:15" ht="13.5" thickTop="1" thickBot="1">
      <c r="A57" s="862"/>
      <c r="B57" s="263" t="s">
        <v>96</v>
      </c>
      <c r="C57" s="263" t="s">
        <v>97</v>
      </c>
      <c r="D57" s="367">
        <f t="shared" si="10"/>
        <v>4360</v>
      </c>
      <c r="E57" s="367"/>
      <c r="F57" s="367"/>
      <c r="G57" s="367"/>
      <c r="H57" s="356">
        <f>'6 месяцев'!H57+июль!H57</f>
        <v>4360</v>
      </c>
      <c r="I57" s="367"/>
      <c r="J57" s="265">
        <f t="shared" si="11"/>
        <v>3789.4150550000004</v>
      </c>
      <c r="K57" s="265"/>
      <c r="L57" s="265"/>
      <c r="M57" s="265"/>
      <c r="N57" s="356">
        <f>'6 месяцев'!N57+июль!N57</f>
        <v>3789.4150550000004</v>
      </c>
      <c r="O57" s="265"/>
    </row>
    <row r="58" spans="1:15" ht="13.5" thickTop="1" thickBot="1">
      <c r="A58" s="862"/>
      <c r="B58" s="263" t="s">
        <v>98</v>
      </c>
      <c r="C58" s="263" t="s">
        <v>99</v>
      </c>
      <c r="D58" s="367">
        <f t="shared" si="10"/>
        <v>21940</v>
      </c>
      <c r="E58" s="367"/>
      <c r="F58" s="367"/>
      <c r="G58" s="367"/>
      <c r="H58" s="323">
        <f>H12</f>
        <v>21940</v>
      </c>
      <c r="I58" s="367"/>
      <c r="J58" s="265">
        <f t="shared" si="11"/>
        <v>19595.526000000002</v>
      </c>
      <c r="K58" s="265"/>
      <c r="L58" s="265"/>
      <c r="M58" s="265"/>
      <c r="N58" s="283">
        <f>N12</f>
        <v>19595.526000000002</v>
      </c>
      <c r="O58" s="265"/>
    </row>
    <row r="59" spans="1:15" ht="13.5" thickTop="1" thickBot="1">
      <c r="A59" s="862"/>
      <c r="B59" s="204" t="s">
        <v>171</v>
      </c>
      <c r="C59" s="205" t="s">
        <v>190</v>
      </c>
      <c r="D59" s="325">
        <f t="shared" si="10"/>
        <v>19160</v>
      </c>
      <c r="E59" s="356">
        <f>'6 месяцев'!E59+июль!E59</f>
        <v>0</v>
      </c>
      <c r="F59" s="356">
        <f>'6 месяцев'!F59+июль!F59</f>
        <v>12780</v>
      </c>
      <c r="G59" s="284"/>
      <c r="H59" s="356">
        <f>'6 месяцев'!H59+июль!H59</f>
        <v>2480</v>
      </c>
      <c r="I59" s="356">
        <f>'6 месяцев'!I59+июль!I59</f>
        <v>3900</v>
      </c>
      <c r="J59" s="206">
        <f t="shared" si="11"/>
        <v>16986.023999999998</v>
      </c>
      <c r="K59" s="356">
        <f>'6 месяцев'!K59+июль!K59</f>
        <v>0</v>
      </c>
      <c r="L59" s="356">
        <f>'6 месяцев'!L59+июль!L59</f>
        <v>9122.4279999999999</v>
      </c>
      <c r="M59" s="214"/>
      <c r="N59" s="356">
        <f>'6 месяцев'!N59+июль!N59</f>
        <v>3405.06</v>
      </c>
      <c r="O59" s="356">
        <f>'6 месяцев'!O59+июль!O59</f>
        <v>4458.5360000000001</v>
      </c>
    </row>
    <row r="60" spans="1:15" ht="13.5" thickTop="1" thickBot="1">
      <c r="A60" s="862"/>
      <c r="B60" s="182" t="s">
        <v>172</v>
      </c>
      <c r="C60" s="182" t="s">
        <v>88</v>
      </c>
      <c r="D60" s="324">
        <f t="shared" si="10"/>
        <v>0</v>
      </c>
      <c r="E60" s="324"/>
      <c r="F60" s="324"/>
      <c r="G60" s="324"/>
      <c r="H60" s="324"/>
      <c r="I60" s="324"/>
      <c r="J60" s="196">
        <f t="shared" si="11"/>
        <v>0</v>
      </c>
      <c r="K60" s="196"/>
      <c r="L60" s="196"/>
      <c r="M60" s="196"/>
      <c r="N60" s="196"/>
      <c r="O60" s="196"/>
    </row>
    <row r="61" spans="1:15" ht="13.5" thickTop="1" thickBot="1">
      <c r="A61" s="862"/>
      <c r="B61" s="207"/>
      <c r="C61" s="208" t="s">
        <v>89</v>
      </c>
      <c r="D61" s="326">
        <f t="shared" si="10"/>
        <v>0</v>
      </c>
      <c r="E61" s="327"/>
      <c r="F61" s="327"/>
      <c r="G61" s="326"/>
      <c r="H61" s="326"/>
      <c r="I61" s="327"/>
      <c r="J61" s="209">
        <f t="shared" si="11"/>
        <v>0</v>
      </c>
      <c r="K61" s="210"/>
      <c r="L61" s="210"/>
      <c r="M61" s="381"/>
      <c r="N61" s="381"/>
      <c r="O61" s="210"/>
    </row>
    <row r="62" spans="1:15" ht="13.5" thickTop="1" thickBot="1">
      <c r="A62" s="862"/>
      <c r="B62" s="207"/>
      <c r="C62" s="208" t="s">
        <v>90</v>
      </c>
      <c r="D62" s="326">
        <f t="shared" si="10"/>
        <v>0</v>
      </c>
      <c r="E62" s="327"/>
      <c r="F62" s="327"/>
      <c r="G62" s="327"/>
      <c r="H62" s="326"/>
      <c r="I62" s="326"/>
      <c r="J62" s="209">
        <f t="shared" si="11"/>
        <v>0</v>
      </c>
      <c r="K62" s="210"/>
      <c r="L62" s="210"/>
      <c r="M62" s="382"/>
      <c r="N62" s="381"/>
      <c r="O62" s="209"/>
    </row>
    <row r="63" spans="1:15" ht="13.5" thickTop="1" thickBot="1">
      <c r="A63" s="862"/>
      <c r="B63" s="207"/>
      <c r="C63" s="208" t="s">
        <v>91</v>
      </c>
      <c r="D63" s="326">
        <f t="shared" si="10"/>
        <v>0</v>
      </c>
      <c r="E63" s="327"/>
      <c r="F63" s="327"/>
      <c r="G63" s="327"/>
      <c r="H63" s="327"/>
      <c r="I63" s="326"/>
      <c r="J63" s="209">
        <f t="shared" si="11"/>
        <v>0</v>
      </c>
      <c r="K63" s="210"/>
      <c r="L63" s="210"/>
      <c r="M63" s="210"/>
      <c r="N63" s="210"/>
      <c r="O63" s="209"/>
    </row>
    <row r="64" spans="1:15" ht="13.5" thickTop="1" thickBot="1">
      <c r="A64" s="862"/>
      <c r="B64" s="182" t="s">
        <v>173</v>
      </c>
      <c r="C64" s="182" t="s">
        <v>93</v>
      </c>
      <c r="D64" s="324">
        <f t="shared" si="10"/>
        <v>0</v>
      </c>
      <c r="E64" s="356">
        <f>'6 месяцев'!E64+июль!E64</f>
        <v>0</v>
      </c>
      <c r="F64" s="356">
        <f>'6 месяцев'!F64+июль!F64</f>
        <v>0</v>
      </c>
      <c r="G64" s="328"/>
      <c r="H64" s="328"/>
      <c r="I64" s="324"/>
      <c r="J64" s="196">
        <f t="shared" si="11"/>
        <v>0</v>
      </c>
      <c r="K64" s="356">
        <f>'6 месяцев'!K64+июль!K64</f>
        <v>0</v>
      </c>
      <c r="L64" s="356">
        <f>'6 месяцев'!L64+июль!L64</f>
        <v>0</v>
      </c>
      <c r="M64" s="211"/>
      <c r="N64" s="211"/>
      <c r="O64" s="196"/>
    </row>
    <row r="65" spans="1:15" ht="13.5" thickTop="1" thickBot="1">
      <c r="A65" s="862"/>
      <c r="B65" s="182" t="s">
        <v>174</v>
      </c>
      <c r="C65" s="182" t="s">
        <v>95</v>
      </c>
      <c r="D65" s="330">
        <f t="shared" si="10"/>
        <v>0</v>
      </c>
      <c r="E65" s="356">
        <f>'6 месяцев'!E65+июль!E65</f>
        <v>0</v>
      </c>
      <c r="F65" s="326"/>
      <c r="G65" s="326"/>
      <c r="H65" s="326"/>
      <c r="I65" s="324"/>
      <c r="J65" s="431">
        <f t="shared" si="11"/>
        <v>0</v>
      </c>
      <c r="K65" s="356">
        <f>'6 месяцев'!K65+июль!K65</f>
        <v>0</v>
      </c>
      <c r="L65" s="209"/>
      <c r="M65" s="209"/>
      <c r="N65" s="209"/>
      <c r="O65" s="196"/>
    </row>
    <row r="66" spans="1:15" ht="13.5" thickTop="1" thickBot="1">
      <c r="A66" s="862"/>
      <c r="B66" s="207"/>
      <c r="C66" s="208" t="s">
        <v>89</v>
      </c>
      <c r="D66" s="326">
        <f t="shared" si="10"/>
        <v>0</v>
      </c>
      <c r="E66" s="327"/>
      <c r="F66" s="327"/>
      <c r="G66" s="326"/>
      <c r="H66" s="326"/>
      <c r="I66" s="327"/>
      <c r="J66" s="209">
        <f t="shared" si="11"/>
        <v>0</v>
      </c>
      <c r="K66" s="210"/>
      <c r="L66" s="210"/>
      <c r="M66" s="209"/>
      <c r="N66" s="209"/>
      <c r="O66" s="210"/>
    </row>
    <row r="67" spans="1:15" ht="13.5" thickTop="1" thickBot="1">
      <c r="A67" s="862"/>
      <c r="B67" s="207"/>
      <c r="C67" s="208" t="s">
        <v>90</v>
      </c>
      <c r="D67" s="326">
        <f t="shared" si="10"/>
        <v>0</v>
      </c>
      <c r="E67" s="327"/>
      <c r="F67" s="327"/>
      <c r="G67" s="327"/>
      <c r="H67" s="326"/>
      <c r="I67" s="326"/>
      <c r="J67" s="209">
        <f t="shared" si="11"/>
        <v>0</v>
      </c>
      <c r="K67" s="210"/>
      <c r="L67" s="210"/>
      <c r="M67" s="210"/>
      <c r="N67" s="209"/>
      <c r="O67" s="209"/>
    </row>
    <row r="68" spans="1:15" ht="13.5" thickTop="1" thickBot="1">
      <c r="A68" s="862"/>
      <c r="B68" s="207"/>
      <c r="C68" s="208" t="s">
        <v>91</v>
      </c>
      <c r="D68" s="326">
        <f t="shared" si="10"/>
        <v>0</v>
      </c>
      <c r="E68" s="327"/>
      <c r="F68" s="327"/>
      <c r="G68" s="327"/>
      <c r="H68" s="327"/>
      <c r="I68" s="326"/>
      <c r="J68" s="209">
        <f t="shared" si="11"/>
        <v>0</v>
      </c>
      <c r="K68" s="210"/>
      <c r="L68" s="210"/>
      <c r="M68" s="210"/>
      <c r="N68" s="210"/>
      <c r="O68" s="209"/>
    </row>
    <row r="69" spans="1:15" ht="13.5" thickTop="1" thickBot="1">
      <c r="A69" s="862"/>
      <c r="B69" s="182" t="s">
        <v>176</v>
      </c>
      <c r="C69" s="182" t="s">
        <v>97</v>
      </c>
      <c r="D69" s="324">
        <f t="shared" si="10"/>
        <v>0</v>
      </c>
      <c r="E69" s="324"/>
      <c r="F69" s="324"/>
      <c r="G69" s="324"/>
      <c r="H69" s="323"/>
      <c r="I69" s="324"/>
      <c r="J69" s="196">
        <f t="shared" si="11"/>
        <v>0</v>
      </c>
      <c r="K69" s="196"/>
      <c r="L69" s="196"/>
      <c r="M69" s="196"/>
      <c r="N69" s="185"/>
      <c r="O69" s="196"/>
    </row>
    <row r="70" spans="1:15" ht="13.5" thickTop="1" thickBot="1">
      <c r="A70" s="862"/>
      <c r="B70" s="182" t="s">
        <v>175</v>
      </c>
      <c r="C70" s="182" t="s">
        <v>99</v>
      </c>
      <c r="D70" s="324">
        <f t="shared" si="10"/>
        <v>0</v>
      </c>
      <c r="E70" s="324"/>
      <c r="F70" s="324"/>
      <c r="G70" s="324"/>
      <c r="H70" s="323"/>
      <c r="I70" s="324"/>
      <c r="J70" s="196">
        <f t="shared" si="11"/>
        <v>0</v>
      </c>
      <c r="K70" s="196"/>
      <c r="L70" s="196"/>
      <c r="M70" s="196"/>
      <c r="N70" s="185"/>
      <c r="O70" s="196"/>
    </row>
    <row r="71" spans="1:15" ht="13.5" thickTop="1" thickBot="1">
      <c r="A71" s="862"/>
      <c r="B71" s="204" t="s">
        <v>177</v>
      </c>
      <c r="C71" s="205" t="s">
        <v>203</v>
      </c>
      <c r="D71" s="325">
        <f t="shared" si="10"/>
        <v>32410</v>
      </c>
      <c r="E71" s="284"/>
      <c r="F71" s="284"/>
      <c r="G71" s="356">
        <f>'6 месяцев'!G71+июль!G71</f>
        <v>17540</v>
      </c>
      <c r="H71" s="356">
        <f>'6 месяцев'!H71+июль!H71</f>
        <v>14870</v>
      </c>
      <c r="I71" s="356">
        <f>'6 месяцев'!I71+июль!I71</f>
        <v>0</v>
      </c>
      <c r="J71" s="206">
        <f t="shared" si="11"/>
        <v>31360.870000000003</v>
      </c>
      <c r="K71" s="284"/>
      <c r="L71" s="284"/>
      <c r="M71" s="356">
        <f>'6 месяцев'!M71+июль!M71</f>
        <v>15040.939000000002</v>
      </c>
      <c r="N71" s="356">
        <f>'6 месяцев'!N71+июль!N71</f>
        <v>9235.3580000000002</v>
      </c>
      <c r="O71" s="356">
        <f>'6 месяцев'!O71+июль!O71</f>
        <v>7084.5730000000003</v>
      </c>
    </row>
    <row r="72" spans="1:15" ht="13.5" thickTop="1" thickBot="1">
      <c r="A72" s="862"/>
      <c r="B72" s="182" t="s">
        <v>178</v>
      </c>
      <c r="C72" s="182" t="s">
        <v>88</v>
      </c>
      <c r="D72" s="324">
        <f t="shared" si="10"/>
        <v>0</v>
      </c>
      <c r="E72" s="324"/>
      <c r="F72" s="324"/>
      <c r="G72" s="324"/>
      <c r="H72" s="324"/>
      <c r="I72" s="324"/>
      <c r="J72" s="196">
        <f t="shared" si="11"/>
        <v>0</v>
      </c>
      <c r="K72" s="196"/>
      <c r="L72" s="196"/>
      <c r="M72" s="265"/>
      <c r="N72" s="265"/>
      <c r="O72" s="196"/>
    </row>
    <row r="73" spans="1:15" ht="13.5" thickTop="1" thickBot="1">
      <c r="A73" s="862"/>
      <c r="B73" s="207"/>
      <c r="C73" s="208" t="s">
        <v>89</v>
      </c>
      <c r="D73" s="326">
        <f t="shared" si="10"/>
        <v>12940</v>
      </c>
      <c r="E73" s="327"/>
      <c r="F73" s="327"/>
      <c r="G73" s="356">
        <f>'6 месяцев'!G73+июль!G73</f>
        <v>3705</v>
      </c>
      <c r="H73" s="356">
        <f>'6 месяцев'!H73+июль!H73</f>
        <v>9235</v>
      </c>
      <c r="I73" s="327"/>
      <c r="J73" s="209">
        <f t="shared" si="11"/>
        <v>-19915.811999999998</v>
      </c>
      <c r="K73" s="210"/>
      <c r="L73" s="210"/>
      <c r="M73" s="356">
        <f>'6 месяцев'!M73+июль!M73</f>
        <v>786.1650000000011</v>
      </c>
      <c r="N73" s="356">
        <f>'6 месяцев'!N73+июль!N73</f>
        <v>-20701.976999999999</v>
      </c>
      <c r="O73" s="210"/>
    </row>
    <row r="74" spans="1:15" ht="13.5" thickTop="1" thickBot="1">
      <c r="A74" s="862"/>
      <c r="B74" s="207"/>
      <c r="C74" s="208" t="s">
        <v>90</v>
      </c>
      <c r="D74" s="326">
        <f t="shared" si="10"/>
        <v>0</v>
      </c>
      <c r="E74" s="327"/>
      <c r="F74" s="327"/>
      <c r="G74" s="327"/>
      <c r="H74" s="326"/>
      <c r="I74" s="326"/>
      <c r="J74" s="209">
        <f t="shared" si="11"/>
        <v>0</v>
      </c>
      <c r="K74" s="210"/>
      <c r="L74" s="210"/>
      <c r="M74" s="210"/>
      <c r="N74" s="320"/>
      <c r="O74" s="209"/>
    </row>
    <row r="75" spans="1:15" ht="13.5" thickTop="1" thickBot="1">
      <c r="A75" s="862"/>
      <c r="B75" s="207"/>
      <c r="C75" s="208" t="s">
        <v>91</v>
      </c>
      <c r="D75" s="326">
        <f t="shared" si="10"/>
        <v>0</v>
      </c>
      <c r="E75" s="327"/>
      <c r="F75" s="327"/>
      <c r="G75" s="327"/>
      <c r="H75" s="327"/>
      <c r="I75" s="326"/>
      <c r="J75" s="209">
        <f t="shared" si="11"/>
        <v>0</v>
      </c>
      <c r="K75" s="210"/>
      <c r="L75" s="210"/>
      <c r="M75" s="210"/>
      <c r="N75" s="210"/>
      <c r="O75" s="209"/>
    </row>
    <row r="76" spans="1:15" ht="13.5" thickTop="1" thickBot="1">
      <c r="A76" s="862"/>
      <c r="B76" s="182" t="s">
        <v>179</v>
      </c>
      <c r="C76" s="182" t="s">
        <v>93</v>
      </c>
      <c r="D76" s="324">
        <f t="shared" si="10"/>
        <v>0</v>
      </c>
      <c r="E76" s="324"/>
      <c r="F76" s="324"/>
      <c r="G76" s="328"/>
      <c r="H76" s="328"/>
      <c r="I76" s="324"/>
      <c r="J76" s="196">
        <f t="shared" si="11"/>
        <v>0</v>
      </c>
      <c r="K76" s="196"/>
      <c r="L76" s="196"/>
      <c r="M76" s="211"/>
      <c r="N76" s="211"/>
      <c r="O76" s="196"/>
    </row>
    <row r="77" spans="1:15" ht="13.5" thickTop="1" thickBot="1">
      <c r="A77" s="862"/>
      <c r="B77" s="182" t="s">
        <v>180</v>
      </c>
      <c r="C77" s="182" t="s">
        <v>95</v>
      </c>
      <c r="D77" s="330">
        <f t="shared" si="10"/>
        <v>0</v>
      </c>
      <c r="E77" s="380"/>
      <c r="F77" s="326"/>
      <c r="G77" s="356"/>
      <c r="H77" s="356"/>
      <c r="I77" s="324"/>
      <c r="J77" s="213"/>
      <c r="K77" s="383"/>
      <c r="L77" s="209"/>
      <c r="M77" s="356"/>
      <c r="N77" s="356"/>
      <c r="O77" s="196"/>
    </row>
    <row r="78" spans="1:15" ht="13.5" thickTop="1" thickBot="1">
      <c r="A78" s="862"/>
      <c r="B78" s="207"/>
      <c r="C78" s="208" t="s">
        <v>89</v>
      </c>
      <c r="D78" s="326">
        <f t="shared" ref="D78:D147" si="12">SUM(E78:I78)</f>
        <v>19470</v>
      </c>
      <c r="E78" s="327"/>
      <c r="F78" s="327"/>
      <c r="G78" s="356">
        <f>'6 месяцев'!G78+июль!G78</f>
        <v>13835</v>
      </c>
      <c r="H78" s="356">
        <f>'6 месяцев'!H78+июль!H78</f>
        <v>5635</v>
      </c>
      <c r="I78" s="327"/>
      <c r="J78" s="209">
        <f t="shared" ref="J78:J147" si="13">SUM(K78:O78)</f>
        <v>20689.743999999999</v>
      </c>
      <c r="K78" s="210"/>
      <c r="L78" s="210"/>
      <c r="M78" s="356">
        <f>'6 месяцев'!M78+июль!M78</f>
        <v>14254.773999999999</v>
      </c>
      <c r="N78" s="356">
        <f>'6 месяцев'!N78+июль!N78</f>
        <v>6434.9699999999993</v>
      </c>
      <c r="O78" s="210"/>
    </row>
    <row r="79" spans="1:15" ht="13.5" thickTop="1" thickBot="1">
      <c r="A79" s="862"/>
      <c r="B79" s="207"/>
      <c r="C79" s="208" t="s">
        <v>90</v>
      </c>
      <c r="D79" s="326">
        <f t="shared" si="12"/>
        <v>0</v>
      </c>
      <c r="E79" s="327"/>
      <c r="F79" s="327"/>
      <c r="G79" s="327"/>
      <c r="H79" s="326"/>
      <c r="I79" s="326"/>
      <c r="J79" s="209">
        <f t="shared" si="13"/>
        <v>0</v>
      </c>
      <c r="K79" s="210"/>
      <c r="L79" s="210"/>
      <c r="M79" s="210"/>
      <c r="N79" s="209"/>
      <c r="O79" s="209"/>
    </row>
    <row r="80" spans="1:15" ht="13.5" thickTop="1" thickBot="1">
      <c r="A80" s="862"/>
      <c r="B80" s="207"/>
      <c r="C80" s="208" t="s">
        <v>91</v>
      </c>
      <c r="D80" s="326">
        <f t="shared" si="12"/>
        <v>0</v>
      </c>
      <c r="E80" s="327"/>
      <c r="F80" s="327"/>
      <c r="G80" s="327"/>
      <c r="H80" s="327"/>
      <c r="I80" s="326"/>
      <c r="J80" s="209">
        <f t="shared" si="13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324">
        <f t="shared" si="12"/>
        <v>0</v>
      </c>
      <c r="E81" s="324"/>
      <c r="F81" s="324"/>
      <c r="G81" s="324"/>
      <c r="H81" s="323"/>
      <c r="I81" s="324"/>
      <c r="J81" s="196">
        <f t="shared" si="13"/>
        <v>0</v>
      </c>
      <c r="K81" s="196"/>
      <c r="L81" s="196"/>
      <c r="M81" s="196"/>
      <c r="N81" s="185"/>
      <c r="O81" s="196"/>
    </row>
    <row r="82" spans="1:15" ht="13.5" thickTop="1" thickBot="1">
      <c r="A82" s="862"/>
      <c r="B82" s="182" t="s">
        <v>182</v>
      </c>
      <c r="C82" s="182" t="s">
        <v>99</v>
      </c>
      <c r="D82" s="324">
        <f t="shared" si="12"/>
        <v>0</v>
      </c>
      <c r="E82" s="324"/>
      <c r="F82" s="324"/>
      <c r="G82" s="324"/>
      <c r="H82" s="323"/>
      <c r="I82" s="324"/>
      <c r="J82" s="196">
        <f t="shared" si="13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325">
        <f t="shared" si="12"/>
        <v>488300</v>
      </c>
      <c r="E83" s="284"/>
      <c r="F83" s="356">
        <f>'6 месяцев'!F83+июль!F83</f>
        <v>488300</v>
      </c>
      <c r="G83" s="284"/>
      <c r="H83" s="284"/>
      <c r="I83" s="284"/>
      <c r="J83" s="206">
        <f t="shared" si="13"/>
        <v>454548.52799999999</v>
      </c>
      <c r="K83" s="284"/>
      <c r="L83" s="356">
        <f>'6 месяцев'!L83+июль!L83</f>
        <v>454548.52799999999</v>
      </c>
      <c r="M83" s="214"/>
      <c r="N83" s="214"/>
      <c r="O83" s="214"/>
    </row>
    <row r="84" spans="1:15" ht="13.5" thickTop="1" thickBot="1">
      <c r="A84" s="862"/>
      <c r="B84" s="182" t="s">
        <v>184</v>
      </c>
      <c r="C84" s="182" t="s">
        <v>88</v>
      </c>
      <c r="D84" s="324">
        <f t="shared" si="12"/>
        <v>0</v>
      </c>
      <c r="E84" s="324"/>
      <c r="F84" s="324"/>
      <c r="G84" s="324"/>
      <c r="H84" s="324"/>
      <c r="I84" s="324"/>
      <c r="J84" s="196">
        <f t="shared" si="13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326">
        <f t="shared" si="12"/>
        <v>0</v>
      </c>
      <c r="E85" s="327"/>
      <c r="F85" s="327"/>
      <c r="G85" s="326"/>
      <c r="H85" s="326"/>
      <c r="I85" s="327"/>
      <c r="J85" s="209">
        <f t="shared" si="13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326">
        <f t="shared" si="12"/>
        <v>0</v>
      </c>
      <c r="E86" s="327"/>
      <c r="F86" s="327"/>
      <c r="G86" s="327"/>
      <c r="H86" s="326"/>
      <c r="I86" s="326"/>
      <c r="J86" s="209">
        <f t="shared" si="13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326">
        <f t="shared" si="12"/>
        <v>0</v>
      </c>
      <c r="E87" s="327"/>
      <c r="F87" s="327"/>
      <c r="G87" s="327"/>
      <c r="H87" s="327"/>
      <c r="I87" s="326"/>
      <c r="J87" s="209">
        <f t="shared" si="13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324">
        <f t="shared" si="12"/>
        <v>0</v>
      </c>
      <c r="E88" s="324"/>
      <c r="F88" s="324"/>
      <c r="G88" s="328"/>
      <c r="H88" s="328"/>
      <c r="I88" s="324"/>
      <c r="J88" s="196">
        <f t="shared" si="13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330">
        <f t="shared" si="12"/>
        <v>205092</v>
      </c>
      <c r="E89" s="380"/>
      <c r="F89" s="356">
        <f>'6 месяцев'!F89+июль!F89</f>
        <v>205092</v>
      </c>
      <c r="G89" s="326"/>
      <c r="H89" s="326"/>
      <c r="I89" s="324"/>
      <c r="J89" s="431">
        <f t="shared" si="13"/>
        <v>177967.90000000002</v>
      </c>
      <c r="K89" s="383"/>
      <c r="L89" s="356">
        <f>'6 месяцев'!L89+июль!L89</f>
        <v>177967.90000000002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326">
        <f t="shared" si="12"/>
        <v>0</v>
      </c>
      <c r="E90" s="327"/>
      <c r="F90" s="327"/>
      <c r="G90" s="326"/>
      <c r="H90" s="326"/>
      <c r="I90" s="327"/>
      <c r="J90" s="209">
        <f t="shared" si="13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326">
        <f t="shared" si="12"/>
        <v>0</v>
      </c>
      <c r="E91" s="327"/>
      <c r="F91" s="327"/>
      <c r="G91" s="327"/>
      <c r="H91" s="326"/>
      <c r="I91" s="326"/>
      <c r="J91" s="209">
        <f t="shared" si="13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326">
        <f t="shared" si="12"/>
        <v>0</v>
      </c>
      <c r="E92" s="327"/>
      <c r="F92" s="327"/>
      <c r="G92" s="327"/>
      <c r="H92" s="327"/>
      <c r="I92" s="326"/>
      <c r="J92" s="209">
        <f t="shared" si="13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324">
        <f t="shared" si="12"/>
        <v>0</v>
      </c>
      <c r="E93" s="324"/>
      <c r="F93" s="324"/>
      <c r="G93" s="324"/>
      <c r="H93" s="323"/>
      <c r="I93" s="324"/>
      <c r="J93" s="196">
        <f t="shared" si="13"/>
        <v>0</v>
      </c>
      <c r="K93" s="196"/>
      <c r="L93" s="196"/>
      <c r="M93" s="196"/>
      <c r="N93" s="185"/>
      <c r="O93" s="196"/>
    </row>
    <row r="94" spans="1:15" ht="13.5" thickTop="1" thickBot="1">
      <c r="A94" s="862"/>
      <c r="B94" s="182" t="s">
        <v>188</v>
      </c>
      <c r="C94" s="182" t="s">
        <v>99</v>
      </c>
      <c r="D94" s="324">
        <f t="shared" si="12"/>
        <v>0</v>
      </c>
      <c r="E94" s="324"/>
      <c r="F94" s="324"/>
      <c r="G94" s="324"/>
      <c r="H94" s="323"/>
      <c r="I94" s="324"/>
      <c r="J94" s="196">
        <f t="shared" si="13"/>
        <v>0</v>
      </c>
      <c r="K94" s="196"/>
      <c r="L94" s="196"/>
      <c r="M94" s="196"/>
      <c r="N94" s="196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>
        <f t="shared" ref="D95:D106" si="14">SUM(E95:I95)</f>
        <v>34500</v>
      </c>
      <c r="E95" s="284"/>
      <c r="F95" s="325"/>
      <c r="G95" s="284"/>
      <c r="H95" s="370">
        <f>'6 месяцев'!H95+июль!H95</f>
        <v>34500</v>
      </c>
      <c r="I95" s="284"/>
      <c r="J95" s="206">
        <f t="shared" ref="J95:J106" si="15">SUM(K95:O95)</f>
        <v>19728.082000000002</v>
      </c>
      <c r="K95" s="284"/>
      <c r="L95" s="325"/>
      <c r="M95" s="214"/>
      <c r="N95" s="370">
        <f>'6 месяцев'!N95+июль!N95</f>
        <v>19728.082000000002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4"/>
        <v>0</v>
      </c>
      <c r="E96" s="324"/>
      <c r="F96" s="324"/>
      <c r="G96" s="324"/>
      <c r="H96" s="693"/>
      <c r="I96" s="324"/>
      <c r="J96" s="196">
        <f t="shared" si="15"/>
        <v>0</v>
      </c>
      <c r="K96" s="196"/>
      <c r="L96" s="196"/>
      <c r="M96" s="196"/>
      <c r="N96" s="693"/>
      <c r="O96" s="196"/>
    </row>
    <row r="97" spans="1:15" ht="13.5" thickTop="1" thickBot="1">
      <c r="A97" s="862"/>
      <c r="B97" s="207"/>
      <c r="C97" s="208" t="s">
        <v>89</v>
      </c>
      <c r="D97" s="326">
        <f t="shared" si="14"/>
        <v>11330</v>
      </c>
      <c r="E97" s="327"/>
      <c r="F97" s="327"/>
      <c r="G97" s="326"/>
      <c r="H97" s="370">
        <f>'6 месяцев'!H97+июль!H97</f>
        <v>11330</v>
      </c>
      <c r="I97" s="327"/>
      <c r="J97" s="209">
        <f t="shared" si="15"/>
        <v>4019.576</v>
      </c>
      <c r="K97" s="210"/>
      <c r="L97" s="210"/>
      <c r="M97" s="209"/>
      <c r="N97" s="370">
        <f>'6 месяцев'!N97+июль!N97</f>
        <v>4019.576</v>
      </c>
      <c r="O97" s="210"/>
    </row>
    <row r="98" spans="1:15" ht="13.5" thickTop="1" thickBot="1">
      <c r="A98" s="862"/>
      <c r="B98" s="207"/>
      <c r="C98" s="208" t="s">
        <v>90</v>
      </c>
      <c r="D98" s="326">
        <f t="shared" si="14"/>
        <v>13940</v>
      </c>
      <c r="E98" s="327"/>
      <c r="F98" s="327"/>
      <c r="G98" s="327"/>
      <c r="H98" s="370">
        <f>'6 месяцев'!H98+июль!H98</f>
        <v>13940</v>
      </c>
      <c r="I98" s="326"/>
      <c r="J98" s="209">
        <f t="shared" si="15"/>
        <v>6078.3929999999991</v>
      </c>
      <c r="K98" s="210"/>
      <c r="L98" s="210"/>
      <c r="M98" s="210"/>
      <c r="N98" s="370">
        <f>'6 месяцев'!N98+июль!N98</f>
        <v>6078.3929999999991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4"/>
        <v>0</v>
      </c>
      <c r="E99" s="327"/>
      <c r="F99" s="327"/>
      <c r="G99" s="327"/>
      <c r="H99" s="327"/>
      <c r="I99" s="326"/>
      <c r="J99" s="209">
        <f t="shared" si="15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4"/>
        <v>0</v>
      </c>
      <c r="E100" s="324"/>
      <c r="F100" s="324"/>
      <c r="G100" s="328"/>
      <c r="H100" s="328"/>
      <c r="I100" s="324"/>
      <c r="J100" s="196">
        <f t="shared" si="15"/>
        <v>0</v>
      </c>
      <c r="K100" s="196"/>
      <c r="L100" s="196"/>
      <c r="M100" s="211"/>
      <c r="N100" s="356"/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4"/>
        <v>0</v>
      </c>
      <c r="E101" s="380"/>
      <c r="F101" s="331"/>
      <c r="G101" s="326"/>
      <c r="H101" s="326"/>
      <c r="I101" s="324"/>
      <c r="J101" s="213">
        <f t="shared" si="15"/>
        <v>0</v>
      </c>
      <c r="K101" s="383"/>
      <c r="L101" s="320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4"/>
        <v>0</v>
      </c>
      <c r="E102" s="327"/>
      <c r="F102" s="327"/>
      <c r="G102" s="326"/>
      <c r="H102" s="326"/>
      <c r="I102" s="327"/>
      <c r="J102" s="209">
        <f t="shared" si="15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4"/>
        <v>0</v>
      </c>
      <c r="E103" s="327"/>
      <c r="F103" s="327"/>
      <c r="G103" s="327"/>
      <c r="H103" s="326"/>
      <c r="I103" s="326"/>
      <c r="J103" s="209">
        <f t="shared" si="15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4"/>
        <v>0</v>
      </c>
      <c r="E104" s="327"/>
      <c r="F104" s="327"/>
      <c r="G104" s="327"/>
      <c r="H104" s="327"/>
      <c r="I104" s="326"/>
      <c r="J104" s="209">
        <f t="shared" si="15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4"/>
        <v>0</v>
      </c>
      <c r="E105" s="324"/>
      <c r="F105" s="324"/>
      <c r="G105" s="324"/>
      <c r="H105" s="323"/>
      <c r="I105" s="324"/>
      <c r="J105" s="196">
        <f t="shared" si="15"/>
        <v>0</v>
      </c>
      <c r="K105" s="196"/>
      <c r="L105" s="196"/>
      <c r="M105" s="196"/>
      <c r="N105" s="185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4"/>
        <v>0</v>
      </c>
      <c r="E106" s="324"/>
      <c r="F106" s="324"/>
      <c r="G106" s="324"/>
      <c r="H106" s="323"/>
      <c r="I106" s="324"/>
      <c r="J106" s="196">
        <f t="shared" si="15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>
        <f t="shared" ref="D107:D118" si="16">SUM(E107:I107)</f>
        <v>0</v>
      </c>
      <c r="E107" s="284"/>
      <c r="F107" s="325"/>
      <c r="G107" s="284"/>
      <c r="H107" s="356">
        <f>'6 месяцев'!H107+июль!H107</f>
        <v>0</v>
      </c>
      <c r="I107" s="284"/>
      <c r="J107" s="206">
        <f t="shared" ref="J107:J118" si="17">SUM(K107:O107)</f>
        <v>3232.5460000000003</v>
      </c>
      <c r="K107" s="284"/>
      <c r="L107" s="325"/>
      <c r="M107" s="214"/>
      <c r="N107" s="370">
        <f>'6 месяцев'!N107+июль!N107</f>
        <v>3232.5460000000003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6"/>
        <v>0</v>
      </c>
      <c r="E108" s="324"/>
      <c r="F108" s="324"/>
      <c r="G108" s="324"/>
      <c r="H108" s="324"/>
      <c r="I108" s="324"/>
      <c r="J108" s="196">
        <f t="shared" si="17"/>
        <v>0</v>
      </c>
      <c r="K108" s="196"/>
      <c r="L108" s="196"/>
      <c r="M108" s="196"/>
      <c r="N108" s="351"/>
      <c r="O108" s="196"/>
    </row>
    <row r="109" spans="1:15" ht="13.5" thickTop="1" thickBot="1">
      <c r="A109" s="862"/>
      <c r="B109" s="207"/>
      <c r="C109" s="208" t="s">
        <v>89</v>
      </c>
      <c r="D109" s="326">
        <f t="shared" si="16"/>
        <v>0</v>
      </c>
      <c r="E109" s="327"/>
      <c r="F109" s="327"/>
      <c r="G109" s="326"/>
      <c r="H109" s="356">
        <f>'6 месяцев'!H109+июль!H109</f>
        <v>0</v>
      </c>
      <c r="I109" s="327"/>
      <c r="J109" s="209">
        <f t="shared" si="17"/>
        <v>3232.5460000000003</v>
      </c>
      <c r="K109" s="210"/>
      <c r="L109" s="210"/>
      <c r="M109" s="209"/>
      <c r="N109" s="370">
        <f>'6 месяцев'!N109+июль!N109</f>
        <v>3232.5460000000003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6"/>
        <v>0</v>
      </c>
      <c r="E110" s="327"/>
      <c r="F110" s="327"/>
      <c r="G110" s="327"/>
      <c r="H110" s="339"/>
      <c r="I110" s="326"/>
      <c r="J110" s="209">
        <f t="shared" si="17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6"/>
        <v>0</v>
      </c>
      <c r="E111" s="327"/>
      <c r="F111" s="327"/>
      <c r="G111" s="327"/>
      <c r="H111" s="327"/>
      <c r="I111" s="326"/>
      <c r="J111" s="209">
        <f t="shared" si="17"/>
        <v>0</v>
      </c>
      <c r="K111" s="210"/>
      <c r="L111" s="210"/>
      <c r="M111" s="210"/>
      <c r="N111" s="707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6"/>
        <v>0</v>
      </c>
      <c r="E112" s="324"/>
      <c r="F112" s="324"/>
      <c r="G112" s="328"/>
      <c r="H112" s="328"/>
      <c r="I112" s="324"/>
      <c r="J112" s="196">
        <f t="shared" si="17"/>
        <v>0</v>
      </c>
      <c r="K112" s="196"/>
      <c r="L112" s="196"/>
      <c r="M112" s="211"/>
      <c r="N112" s="709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6"/>
        <v>0</v>
      </c>
      <c r="E113" s="380"/>
      <c r="F113" s="331"/>
      <c r="G113" s="326"/>
      <c r="H113" s="326"/>
      <c r="I113" s="324"/>
      <c r="J113" s="213">
        <f t="shared" si="17"/>
        <v>0</v>
      </c>
      <c r="K113" s="383"/>
      <c r="L113" s="320"/>
      <c r="M113" s="209"/>
      <c r="N113" s="708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6"/>
        <v>0</v>
      </c>
      <c r="E114" s="327"/>
      <c r="F114" s="327"/>
      <c r="G114" s="326"/>
      <c r="H114" s="326"/>
      <c r="I114" s="327"/>
      <c r="J114" s="209">
        <f t="shared" si="17"/>
        <v>0</v>
      </c>
      <c r="K114" s="210"/>
      <c r="L114" s="210"/>
      <c r="M114" s="209"/>
      <c r="N114" s="708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6"/>
        <v>0</v>
      </c>
      <c r="E115" s="327"/>
      <c r="F115" s="327"/>
      <c r="G115" s="327"/>
      <c r="H115" s="326"/>
      <c r="I115" s="326"/>
      <c r="J115" s="209">
        <f t="shared" si="17"/>
        <v>0</v>
      </c>
      <c r="K115" s="210"/>
      <c r="L115" s="210"/>
      <c r="M115" s="210"/>
      <c r="N115" s="708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6"/>
        <v>0</v>
      </c>
      <c r="E116" s="327"/>
      <c r="F116" s="327"/>
      <c r="G116" s="327"/>
      <c r="H116" s="327"/>
      <c r="I116" s="326"/>
      <c r="J116" s="209">
        <f t="shared" si="17"/>
        <v>0</v>
      </c>
      <c r="K116" s="210"/>
      <c r="L116" s="210"/>
      <c r="M116" s="210"/>
      <c r="N116" s="707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6"/>
        <v>0</v>
      </c>
      <c r="E117" s="324"/>
      <c r="F117" s="324"/>
      <c r="G117" s="324"/>
      <c r="H117" s="324"/>
      <c r="I117" s="324"/>
      <c r="J117" s="196">
        <f t="shared" si="17"/>
        <v>0</v>
      </c>
      <c r="K117" s="196"/>
      <c r="L117" s="196"/>
      <c r="M117" s="196"/>
      <c r="N117" s="477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6"/>
        <v>0</v>
      </c>
      <c r="E118" s="324"/>
      <c r="F118" s="324"/>
      <c r="G118" s="324"/>
      <c r="H118" s="323"/>
      <c r="I118" s="324"/>
      <c r="J118" s="196">
        <f t="shared" si="17"/>
        <v>0</v>
      </c>
      <c r="K118" s="196"/>
      <c r="L118" s="196"/>
      <c r="M118" s="196"/>
      <c r="N118" s="351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>
        <f t="shared" ref="D119:D130" si="18">SUM(E119:I119)</f>
        <v>0</v>
      </c>
      <c r="E119" s="284"/>
      <c r="F119" s="325"/>
      <c r="G119" s="284"/>
      <c r="H119" s="356">
        <f>'6 месяцев'!H119+июль!H119</f>
        <v>0</v>
      </c>
      <c r="I119" s="284"/>
      <c r="J119" s="206">
        <f t="shared" ref="J119:J130" si="19">SUM(K119:O119)</f>
        <v>1445.259</v>
      </c>
      <c r="K119" s="284"/>
      <c r="L119" s="325"/>
      <c r="M119" s="214"/>
      <c r="N119" s="370">
        <f>'6 месяцев'!N119+июль!N119</f>
        <v>1445.259</v>
      </c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18"/>
        <v>0</v>
      </c>
      <c r="E120" s="324"/>
      <c r="F120" s="324"/>
      <c r="G120" s="324"/>
      <c r="H120" s="196"/>
      <c r="I120" s="324"/>
      <c r="J120" s="196">
        <f t="shared" si="19"/>
        <v>0</v>
      </c>
      <c r="K120" s="196"/>
      <c r="L120" s="196"/>
      <c r="M120" s="196"/>
      <c r="N120" s="351"/>
      <c r="O120" s="196"/>
    </row>
    <row r="121" spans="1:15" ht="13.5" thickTop="1" thickBot="1">
      <c r="A121" s="862"/>
      <c r="B121" s="207"/>
      <c r="C121" s="208" t="s">
        <v>89</v>
      </c>
      <c r="D121" s="326">
        <f t="shared" si="18"/>
        <v>0</v>
      </c>
      <c r="E121" s="327"/>
      <c r="F121" s="327"/>
      <c r="G121" s="326"/>
      <c r="H121" s="356">
        <f>'6 месяцев'!H121+июль!H121</f>
        <v>0</v>
      </c>
      <c r="I121" s="327"/>
      <c r="J121" s="209">
        <f t="shared" si="19"/>
        <v>1445.259</v>
      </c>
      <c r="K121" s="210"/>
      <c r="L121" s="210"/>
      <c r="M121" s="209"/>
      <c r="N121" s="370">
        <f>'6 месяцев'!N121+июль!N121</f>
        <v>1445.259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18"/>
        <v>0</v>
      </c>
      <c r="E122" s="327"/>
      <c r="F122" s="327"/>
      <c r="G122" s="327"/>
      <c r="H122" s="339"/>
      <c r="I122" s="326"/>
      <c r="J122" s="209">
        <f t="shared" si="19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18"/>
        <v>0</v>
      </c>
      <c r="E123" s="327"/>
      <c r="F123" s="327"/>
      <c r="G123" s="327"/>
      <c r="H123" s="327"/>
      <c r="I123" s="326"/>
      <c r="J123" s="209">
        <f t="shared" si="19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18"/>
        <v>0</v>
      </c>
      <c r="E124" s="324"/>
      <c r="F124" s="324"/>
      <c r="G124" s="328"/>
      <c r="H124" s="328"/>
      <c r="I124" s="324"/>
      <c r="J124" s="196">
        <f t="shared" si="19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18"/>
        <v>0</v>
      </c>
      <c r="E125" s="380"/>
      <c r="F125" s="331"/>
      <c r="G125" s="326"/>
      <c r="H125" s="326"/>
      <c r="I125" s="324"/>
      <c r="J125" s="213">
        <f t="shared" si="19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18"/>
        <v>0</v>
      </c>
      <c r="E126" s="327"/>
      <c r="F126" s="327"/>
      <c r="G126" s="326"/>
      <c r="H126" s="326"/>
      <c r="I126" s="327"/>
      <c r="J126" s="209">
        <f t="shared" si="19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18"/>
        <v>0</v>
      </c>
      <c r="E127" s="327"/>
      <c r="F127" s="327"/>
      <c r="G127" s="327"/>
      <c r="H127" s="326"/>
      <c r="I127" s="326"/>
      <c r="J127" s="209">
        <f t="shared" si="19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18"/>
        <v>0</v>
      </c>
      <c r="E128" s="327"/>
      <c r="F128" s="327"/>
      <c r="G128" s="327"/>
      <c r="H128" s="327"/>
      <c r="I128" s="326"/>
      <c r="J128" s="209">
        <f t="shared" si="19"/>
        <v>0</v>
      </c>
      <c r="K128" s="210"/>
      <c r="L128" s="210"/>
      <c r="M128" s="210"/>
      <c r="N128" s="210"/>
      <c r="O128" s="209"/>
    </row>
    <row r="129" spans="1:15" ht="13.5" thickTop="1" thickBot="1">
      <c r="A129" s="862"/>
      <c r="B129" s="182" t="s">
        <v>246</v>
      </c>
      <c r="C129" s="182" t="s">
        <v>97</v>
      </c>
      <c r="D129" s="324">
        <f t="shared" si="18"/>
        <v>0</v>
      </c>
      <c r="E129" s="324"/>
      <c r="F129" s="324"/>
      <c r="G129" s="324"/>
      <c r="H129" s="324"/>
      <c r="I129" s="324"/>
      <c r="J129" s="196">
        <f t="shared" si="19"/>
        <v>0</v>
      </c>
      <c r="K129" s="196"/>
      <c r="L129" s="196"/>
      <c r="M129" s="196"/>
      <c r="N129" s="185"/>
      <c r="O129" s="196"/>
    </row>
    <row r="130" spans="1:15" ht="13.5" thickTop="1" thickBot="1">
      <c r="A130" s="862"/>
      <c r="B130" s="182" t="s">
        <v>247</v>
      </c>
      <c r="C130" s="182" t="s">
        <v>99</v>
      </c>
      <c r="D130" s="324">
        <f t="shared" si="18"/>
        <v>0</v>
      </c>
      <c r="E130" s="324"/>
      <c r="F130" s="324"/>
      <c r="G130" s="324"/>
      <c r="H130" s="323"/>
      <c r="I130" s="324"/>
      <c r="J130" s="196">
        <f t="shared" si="19"/>
        <v>0</v>
      </c>
      <c r="K130" s="196"/>
      <c r="L130" s="196"/>
      <c r="M130" s="196"/>
      <c r="N130" s="196"/>
      <c r="O130" s="196"/>
    </row>
    <row r="131" spans="1:15" ht="13.5" thickTop="1" thickBot="1">
      <c r="A131" s="862"/>
      <c r="B131" s="204" t="s">
        <v>250</v>
      </c>
      <c r="C131" s="595" t="s">
        <v>249</v>
      </c>
      <c r="D131" s="325">
        <f t="shared" ref="D131:D142" si="20">SUM(E131:I131)</f>
        <v>0</v>
      </c>
      <c r="E131" s="284"/>
      <c r="F131" s="325"/>
      <c r="G131" s="284"/>
      <c r="H131" s="356">
        <f>'6 месяцев'!H131+июль!H131</f>
        <v>0</v>
      </c>
      <c r="I131" s="356">
        <f>'6 месяцев'!I131+июль!I131</f>
        <v>0</v>
      </c>
      <c r="J131" s="206">
        <f t="shared" ref="J131:J142" si="21">SUM(K131:O131)</f>
        <v>93.933999999999997</v>
      </c>
      <c r="K131" s="284"/>
      <c r="L131" s="325"/>
      <c r="M131" s="214"/>
      <c r="N131" s="370">
        <f>'6 месяцев'!N131+июль!N131</f>
        <v>67.414000000000001</v>
      </c>
      <c r="O131" s="370">
        <f>'6 месяцев'!O131+июль!O131</f>
        <v>26.52</v>
      </c>
    </row>
    <row r="132" spans="1:15" ht="13.5" thickTop="1" thickBot="1">
      <c r="A132" s="862"/>
      <c r="B132" s="182" t="s">
        <v>251</v>
      </c>
      <c r="C132" s="182" t="s">
        <v>88</v>
      </c>
      <c r="D132" s="324">
        <f t="shared" si="20"/>
        <v>0</v>
      </c>
      <c r="E132" s="324"/>
      <c r="F132" s="324"/>
      <c r="G132" s="324"/>
      <c r="H132" s="324"/>
      <c r="I132" s="324"/>
      <c r="J132" s="196">
        <f t="shared" si="21"/>
        <v>0</v>
      </c>
      <c r="K132" s="196"/>
      <c r="L132" s="196"/>
      <c r="M132" s="196"/>
      <c r="N132" s="196"/>
      <c r="O132" s="196"/>
    </row>
    <row r="133" spans="1:15" ht="13.5" thickTop="1" thickBot="1">
      <c r="A133" s="862"/>
      <c r="B133" s="207"/>
      <c r="C133" s="208" t="s">
        <v>89</v>
      </c>
      <c r="D133" s="326">
        <f t="shared" si="20"/>
        <v>0</v>
      </c>
      <c r="E133" s="327"/>
      <c r="F133" s="327"/>
      <c r="G133" s="326"/>
      <c r="H133" s="339"/>
      <c r="I133" s="327"/>
      <c r="J133" s="209">
        <f t="shared" si="21"/>
        <v>0</v>
      </c>
      <c r="K133" s="210"/>
      <c r="L133" s="210"/>
      <c r="M133" s="209"/>
      <c r="N133" s="339"/>
      <c r="O133" s="210"/>
    </row>
    <row r="134" spans="1:15" ht="13.5" thickTop="1" thickBot="1">
      <c r="A134" s="862"/>
      <c r="B134" s="207"/>
      <c r="C134" s="208" t="s">
        <v>90</v>
      </c>
      <c r="D134" s="326">
        <f t="shared" si="20"/>
        <v>0</v>
      </c>
      <c r="E134" s="327"/>
      <c r="F134" s="327"/>
      <c r="G134" s="327"/>
      <c r="H134" s="339"/>
      <c r="I134" s="326"/>
      <c r="J134" s="209">
        <f t="shared" si="21"/>
        <v>0</v>
      </c>
      <c r="K134" s="210"/>
      <c r="L134" s="210"/>
      <c r="M134" s="210"/>
      <c r="N134" s="699"/>
      <c r="O134" s="209"/>
    </row>
    <row r="135" spans="1:15" ht="13.5" thickTop="1" thickBot="1">
      <c r="A135" s="862"/>
      <c r="B135" s="207"/>
      <c r="C135" s="208" t="s">
        <v>91</v>
      </c>
      <c r="D135" s="326">
        <f t="shared" si="20"/>
        <v>0</v>
      </c>
      <c r="E135" s="327"/>
      <c r="F135" s="327"/>
      <c r="G135" s="327"/>
      <c r="H135" s="327"/>
      <c r="I135" s="326"/>
      <c r="J135" s="209">
        <f t="shared" si="21"/>
        <v>0</v>
      </c>
      <c r="K135" s="210"/>
      <c r="L135" s="210"/>
      <c r="M135" s="210"/>
      <c r="N135" s="210"/>
      <c r="O135" s="209"/>
    </row>
    <row r="136" spans="1:15" ht="13.5" thickTop="1" thickBot="1">
      <c r="A136" s="862"/>
      <c r="B136" s="182" t="s">
        <v>252</v>
      </c>
      <c r="C136" s="182" t="s">
        <v>93</v>
      </c>
      <c r="D136" s="324">
        <f t="shared" si="20"/>
        <v>0</v>
      </c>
      <c r="E136" s="324"/>
      <c r="F136" s="324"/>
      <c r="G136" s="328"/>
      <c r="H136" s="328"/>
      <c r="I136" s="324"/>
      <c r="J136" s="196">
        <f t="shared" si="21"/>
        <v>0</v>
      </c>
      <c r="K136" s="196"/>
      <c r="L136" s="196"/>
      <c r="M136" s="211"/>
      <c r="N136" s="211"/>
      <c r="O136" s="196"/>
    </row>
    <row r="137" spans="1:15" ht="13.5" thickTop="1" thickBot="1">
      <c r="A137" s="862"/>
      <c r="B137" s="182" t="s">
        <v>253</v>
      </c>
      <c r="C137" s="182" t="s">
        <v>95</v>
      </c>
      <c r="D137" s="330">
        <f t="shared" si="20"/>
        <v>0</v>
      </c>
      <c r="E137" s="380"/>
      <c r="F137" s="331"/>
      <c r="G137" s="326"/>
      <c r="H137" s="326"/>
      <c r="I137" s="324"/>
      <c r="J137" s="213">
        <f t="shared" si="21"/>
        <v>0</v>
      </c>
      <c r="K137" s="383"/>
      <c r="L137" s="320"/>
      <c r="M137" s="209"/>
      <c r="N137" s="209"/>
      <c r="O137" s="196"/>
    </row>
    <row r="138" spans="1:15" ht="13.5" thickTop="1" thickBot="1">
      <c r="A138" s="862"/>
      <c r="B138" s="207"/>
      <c r="C138" s="208" t="s">
        <v>89</v>
      </c>
      <c r="D138" s="326">
        <f t="shared" si="20"/>
        <v>0</v>
      </c>
      <c r="E138" s="327"/>
      <c r="F138" s="327"/>
      <c r="G138" s="326"/>
      <c r="H138" s="326"/>
      <c r="I138" s="327"/>
      <c r="J138" s="209">
        <f t="shared" si="21"/>
        <v>0</v>
      </c>
      <c r="K138" s="210"/>
      <c r="L138" s="210"/>
      <c r="M138" s="209"/>
      <c r="N138" s="209"/>
      <c r="O138" s="210"/>
    </row>
    <row r="139" spans="1:15" ht="13.5" thickTop="1" thickBot="1">
      <c r="A139" s="862"/>
      <c r="B139" s="207"/>
      <c r="C139" s="208" t="s">
        <v>90</v>
      </c>
      <c r="D139" s="326">
        <f t="shared" si="20"/>
        <v>0</v>
      </c>
      <c r="E139" s="327"/>
      <c r="F139" s="327"/>
      <c r="G139" s="327"/>
      <c r="H139" s="326"/>
      <c r="I139" s="326"/>
      <c r="J139" s="209">
        <f t="shared" si="21"/>
        <v>0</v>
      </c>
      <c r="K139" s="210"/>
      <c r="L139" s="210"/>
      <c r="M139" s="210"/>
      <c r="N139" s="209"/>
      <c r="O139" s="209"/>
    </row>
    <row r="140" spans="1:15" ht="13.5" thickTop="1" thickBot="1">
      <c r="A140" s="862"/>
      <c r="B140" s="207"/>
      <c r="C140" s="208" t="s">
        <v>91</v>
      </c>
      <c r="D140" s="326">
        <f t="shared" si="20"/>
        <v>0</v>
      </c>
      <c r="E140" s="327"/>
      <c r="F140" s="327"/>
      <c r="G140" s="327"/>
      <c r="H140" s="327"/>
      <c r="I140" s="326"/>
      <c r="J140" s="209">
        <f t="shared" si="21"/>
        <v>0</v>
      </c>
      <c r="K140" s="210"/>
      <c r="L140" s="210"/>
      <c r="M140" s="210"/>
      <c r="N140" s="210"/>
      <c r="O140" s="209"/>
    </row>
    <row r="141" spans="1:15" ht="13.5" thickTop="1" thickBot="1">
      <c r="A141" s="862"/>
      <c r="B141" s="182" t="s">
        <v>254</v>
      </c>
      <c r="C141" s="182" t="s">
        <v>97</v>
      </c>
      <c r="D141" s="324">
        <f t="shared" si="20"/>
        <v>0</v>
      </c>
      <c r="E141" s="324"/>
      <c r="F141" s="731"/>
      <c r="G141" s="324"/>
      <c r="H141" s="324"/>
      <c r="I141" s="324"/>
      <c r="J141" s="196">
        <f t="shared" si="21"/>
        <v>0</v>
      </c>
      <c r="K141" s="196"/>
      <c r="L141" s="196"/>
      <c r="M141" s="196"/>
      <c r="N141" s="185"/>
      <c r="O141" s="196"/>
    </row>
    <row r="142" spans="1:15" ht="13.5" thickTop="1" thickBot="1">
      <c r="A142" s="862"/>
      <c r="B142" s="182" t="s">
        <v>255</v>
      </c>
      <c r="C142" s="182" t="s">
        <v>99</v>
      </c>
      <c r="D142" s="324">
        <f t="shared" si="20"/>
        <v>0</v>
      </c>
      <c r="E142" s="324"/>
      <c r="F142" s="324"/>
      <c r="G142" s="324"/>
      <c r="H142" s="323"/>
      <c r="I142" s="324"/>
      <c r="J142" s="196">
        <f t="shared" si="21"/>
        <v>0</v>
      </c>
      <c r="K142" s="196"/>
      <c r="L142" s="196"/>
      <c r="M142" s="196"/>
      <c r="N142" s="196"/>
      <c r="O142" s="196"/>
    </row>
    <row r="143" spans="1:15" ht="12.75" customHeight="1" thickTop="1" thickBot="1">
      <c r="A143" s="862"/>
      <c r="B143" s="257" t="s">
        <v>100</v>
      </c>
      <c r="C143" s="257" t="s">
        <v>101</v>
      </c>
      <c r="D143" s="285">
        <f>SUM(E143:I143)</f>
        <v>1951541.4</v>
      </c>
      <c r="E143" s="386">
        <f>SUM(E144:E147)</f>
        <v>0</v>
      </c>
      <c r="F143" s="386">
        <f>SUM(F144:F147)</f>
        <v>638140</v>
      </c>
      <c r="G143" s="386">
        <f>SUM(G144:G147)</f>
        <v>29479.599999999999</v>
      </c>
      <c r="H143" s="386">
        <f>SUM(H144:H147)</f>
        <v>486808.80000000005</v>
      </c>
      <c r="I143" s="261">
        <f>SUM(I144:I147)</f>
        <v>797113</v>
      </c>
      <c r="J143" s="285">
        <f>SUM(K143:O143)</f>
        <v>1775974.8489999999</v>
      </c>
      <c r="K143" s="386">
        <f>SUM(K144:K147)</f>
        <v>0</v>
      </c>
      <c r="L143" s="386">
        <f>SUM(L144:L147)</f>
        <v>611251.31800000009</v>
      </c>
      <c r="M143" s="386">
        <f>SUM(M144:M147)</f>
        <v>15836.518</v>
      </c>
      <c r="N143" s="386">
        <f>SUM(N144:N147)</f>
        <v>442728.0639999999</v>
      </c>
      <c r="O143" s="261">
        <f>SUM(O144:O147)</f>
        <v>706158.94900000002</v>
      </c>
    </row>
    <row r="144" spans="1:15" ht="12.75" customHeight="1" thickTop="1" thickBot="1">
      <c r="A144" s="862"/>
      <c r="B144" s="249" t="s">
        <v>102</v>
      </c>
      <c r="C144" s="250" t="s">
        <v>103</v>
      </c>
      <c r="D144" s="358">
        <f t="shared" si="12"/>
        <v>530489.06377000001</v>
      </c>
      <c r="E144" s="252"/>
      <c r="F144" s="287"/>
      <c r="G144" s="287"/>
      <c r="H144" s="287"/>
      <c r="I144" s="356">
        <f>'6 месяцев'!I144+июль!I144</f>
        <v>530489.06377000001</v>
      </c>
      <c r="J144" s="252">
        <f t="shared" si="13"/>
        <v>500112.34899999999</v>
      </c>
      <c r="K144" s="252"/>
      <c r="L144" s="287"/>
      <c r="M144" s="287"/>
      <c r="N144" s="287"/>
      <c r="O144" s="356">
        <f>'6 месяцев'!O144+июль!O144</f>
        <v>500112.34899999999</v>
      </c>
    </row>
    <row r="145" spans="1:16" ht="12.75" customHeight="1" thickTop="1" thickBot="1">
      <c r="A145" s="862"/>
      <c r="B145" s="249" t="s">
        <v>104</v>
      </c>
      <c r="C145" s="250" t="s">
        <v>206</v>
      </c>
      <c r="D145" s="358"/>
      <c r="E145" s="252"/>
      <c r="F145" s="287"/>
      <c r="G145" s="287"/>
      <c r="H145" s="287"/>
      <c r="I145" s="356">
        <f>'6 месяцев'!I145+июль!I145</f>
        <v>0</v>
      </c>
      <c r="J145" s="252"/>
      <c r="K145" s="252"/>
      <c r="L145" s="287"/>
      <c r="M145" s="287"/>
      <c r="N145" s="287"/>
      <c r="O145" s="356">
        <f>'6 месяцев'!O145+июль!O145</f>
        <v>0</v>
      </c>
    </row>
    <row r="146" spans="1:16" ht="12.75" customHeight="1" thickTop="1" thickBot="1">
      <c r="A146" s="862"/>
      <c r="B146" s="249" t="s">
        <v>106</v>
      </c>
      <c r="C146" s="250" t="s">
        <v>105</v>
      </c>
      <c r="D146" s="358">
        <f t="shared" si="12"/>
        <v>1421052.33623</v>
      </c>
      <c r="E146" s="356">
        <f>'6 месяцев'!E146+июль!E146</f>
        <v>0</v>
      </c>
      <c r="F146" s="356">
        <f>'6 месяцев'!F146+июль!F146</f>
        <v>638140</v>
      </c>
      <c r="G146" s="356">
        <f>'6 месяцев'!G146+июль!G146</f>
        <v>29479.599999999999</v>
      </c>
      <c r="H146" s="356">
        <f>'6 месяцев'!H146+июль!H146</f>
        <v>486808.80000000005</v>
      </c>
      <c r="I146" s="356">
        <f>'6 месяцев'!I146+июль!I146</f>
        <v>266623.93622999999</v>
      </c>
      <c r="J146" s="252">
        <f t="shared" si="13"/>
        <v>1109095.2650000001</v>
      </c>
      <c r="K146" s="356">
        <f>'6 месяцев'!K146+июль!K146</f>
        <v>0</v>
      </c>
      <c r="L146" s="356">
        <f>'6 месяцев'!L146+июль!L146</f>
        <v>609529.72000000009</v>
      </c>
      <c r="M146" s="356">
        <f>'6 месяцев'!M146+июль!M146</f>
        <v>14817.175000000001</v>
      </c>
      <c r="N146" s="356">
        <f>'6 месяцев'!N146+июль!N146</f>
        <v>316999.04899999994</v>
      </c>
      <c r="O146" s="356">
        <f>'6 месяцев'!O146+июль!O146</f>
        <v>167749.32100000003</v>
      </c>
    </row>
    <row r="147" spans="1:16" ht="12.75" customHeight="1" thickTop="1" thickBot="1">
      <c r="A147" s="862"/>
      <c r="B147" s="249" t="s">
        <v>207</v>
      </c>
      <c r="C147" s="250" t="s">
        <v>107</v>
      </c>
      <c r="D147" s="358">
        <f t="shared" si="12"/>
        <v>0</v>
      </c>
      <c r="E147" s="356">
        <f>'6 месяцев'!E147+июль!E147</f>
        <v>0</v>
      </c>
      <c r="F147" s="356">
        <f>'6 месяцев'!F147+июль!F147</f>
        <v>0</v>
      </c>
      <c r="G147" s="356">
        <f>'6 месяцев'!G147+июль!G147</f>
        <v>0</v>
      </c>
      <c r="H147" s="356">
        <f>'6 месяцев'!H147+июль!H147</f>
        <v>0</v>
      </c>
      <c r="I147" s="356">
        <f>'6 месяцев'!I147+июль!I147</f>
        <v>0</v>
      </c>
      <c r="J147" s="604">
        <f t="shared" si="13"/>
        <v>166767.23499999999</v>
      </c>
      <c r="K147" s="356">
        <f>'6 месяцев'!K147+июль!K147</f>
        <v>0</v>
      </c>
      <c r="L147" s="356">
        <f>'6 месяцев'!L147+июль!L147</f>
        <v>1721.598</v>
      </c>
      <c r="M147" s="356">
        <f>'6 месяцев'!M147+июль!M147</f>
        <v>1019.3429999999998</v>
      </c>
      <c r="N147" s="356">
        <f>'6 месяцев'!N147+июль!N147</f>
        <v>125729.01499999998</v>
      </c>
      <c r="O147" s="356">
        <f>'6 месяцев'!O147+июль!O147</f>
        <v>38297.278999999995</v>
      </c>
    </row>
    <row r="148" spans="1:16" ht="12.75" customHeight="1" thickTop="1" thickBot="1">
      <c r="A148" s="862"/>
      <c r="B148" s="249" t="s">
        <v>108</v>
      </c>
      <c r="C148" s="249" t="s">
        <v>169</v>
      </c>
      <c r="D148" s="291">
        <f>D150/1.18/D143</f>
        <v>1.1862593812293123</v>
      </c>
      <c r="E148" s="596">
        <v>0.68934566082677784</v>
      </c>
      <c r="F148" s="596">
        <v>0.68934566082677784</v>
      </c>
      <c r="G148" s="596">
        <v>0.89751116229528216</v>
      </c>
      <c r="H148" s="596">
        <v>1.441361399411843</v>
      </c>
      <c r="I148" s="596">
        <v>2.0425292492225116</v>
      </c>
      <c r="J148" s="291">
        <f>J150/1.18/J143</f>
        <v>1.1631763821338441</v>
      </c>
      <c r="K148" s="596">
        <v>0.68548747611024352</v>
      </c>
      <c r="L148" s="596">
        <v>0.68548747611024352</v>
      </c>
      <c r="M148" s="596">
        <v>0.87147829972093604</v>
      </c>
      <c r="N148" s="596">
        <v>1.4308069706981574</v>
      </c>
      <c r="O148" s="596">
        <v>2.0383731144215438</v>
      </c>
    </row>
    <row r="149" spans="1:16" ht="12.75" customHeight="1" thickTop="1" thickBot="1">
      <c r="A149" s="862"/>
      <c r="B149" s="249" t="s">
        <v>205</v>
      </c>
      <c r="C149" s="249" t="s">
        <v>169</v>
      </c>
      <c r="D149" s="291"/>
      <c r="E149" s="289"/>
      <c r="F149" s="290"/>
      <c r="G149" s="290"/>
      <c r="H149" s="290"/>
      <c r="I149" s="598">
        <v>1.2922872438043129</v>
      </c>
      <c r="J149" s="291"/>
      <c r="K149" s="289"/>
      <c r="L149" s="290"/>
      <c r="M149" s="290"/>
      <c r="N149" s="290"/>
      <c r="O149" s="598">
        <v>1.3081926035836204</v>
      </c>
    </row>
    <row r="150" spans="1:16" ht="12.75" customHeight="1" thickTop="1" thickBot="1">
      <c r="A150" s="862"/>
      <c r="B150" s="249" t="s">
        <v>109</v>
      </c>
      <c r="C150" s="292" t="s">
        <v>110</v>
      </c>
      <c r="D150" s="285">
        <f>SUM(E150:I150)</f>
        <v>2731740.466456715</v>
      </c>
      <c r="E150" s="370">
        <f>'6 месяцев'!E150+июль!E150</f>
        <v>0</v>
      </c>
      <c r="F150" s="370">
        <f>'6 месяцев'!F150+июль!F150</f>
        <v>420997.06290401245</v>
      </c>
      <c r="G150" s="370">
        <f>'6 месяцев'!G150+июль!G150</f>
        <v>31220.758670799998</v>
      </c>
      <c r="H150" s="370">
        <f>'6 месяцев'!H150+июль!H150</f>
        <v>827967.54759252002</v>
      </c>
      <c r="I150" s="370">
        <f>'6 месяцев'!I150+июль!I150</f>
        <v>1451555.0972893822</v>
      </c>
      <c r="J150" s="285">
        <f>SUM(K150:O150)</f>
        <v>2437610.9595522135</v>
      </c>
      <c r="K150" s="370">
        <f>'6 месяцев'!K150+июль!K150</f>
        <v>0</v>
      </c>
      <c r="L150" s="370">
        <f>'6 месяцев'!L150+июль!L150</f>
        <v>406237.7646483584</v>
      </c>
      <c r="M150" s="370">
        <f>'6 месяцев'!M150+июль!M150</f>
        <v>16285.394500565199</v>
      </c>
      <c r="N150" s="370">
        <f>'6 месяцев'!N150+июль!N150</f>
        <v>747480.912111982</v>
      </c>
      <c r="O150" s="370">
        <f>'6 месяцев'!O150+июль!O150</f>
        <v>1267606.8882913082</v>
      </c>
    </row>
    <row r="151" spans="1:16" ht="12.75" customHeight="1" thickTop="1" thickBot="1">
      <c r="A151" s="863" t="s">
        <v>111</v>
      </c>
      <c r="B151" s="220" t="s">
        <v>112</v>
      </c>
      <c r="C151" s="221" t="s">
        <v>113</v>
      </c>
      <c r="D151" s="379">
        <f>SUM(E151:I151)</f>
        <v>399630</v>
      </c>
      <c r="E151" s="222">
        <f>E44-E34-E46</f>
        <v>0</v>
      </c>
      <c r="F151" s="222">
        <f>F44-F34-F46</f>
        <v>61180</v>
      </c>
      <c r="G151" s="222">
        <f>G44-G34-G46</f>
        <v>29970</v>
      </c>
      <c r="H151" s="222">
        <f>H44-H34-H46</f>
        <v>119180</v>
      </c>
      <c r="I151" s="222">
        <f>I44-I34-I46</f>
        <v>189300</v>
      </c>
      <c r="J151" s="295">
        <f>SUM(K151:O151)</f>
        <v>455454.26400000008</v>
      </c>
      <c r="K151" s="222">
        <f>K44-K34-K46</f>
        <v>0</v>
      </c>
      <c r="L151" s="222">
        <f>L44-L34-L46</f>
        <v>59101.1504000001</v>
      </c>
      <c r="M151" s="222">
        <f>M44-M34-M46</f>
        <v>23346.975999999871</v>
      </c>
      <c r="N151" s="222">
        <f>N44-N34-N46</f>
        <v>111569.02959999989</v>
      </c>
      <c r="O151" s="222">
        <f>O44-O34-O46</f>
        <v>261437.10800000024</v>
      </c>
    </row>
    <row r="152" spans="1:16" ht="12.75" customHeight="1" thickTop="1" thickBot="1">
      <c r="A152" s="863"/>
      <c r="B152" s="234" t="s">
        <v>114</v>
      </c>
      <c r="C152" s="179" t="s">
        <v>115</v>
      </c>
      <c r="D152" s="346">
        <f t="shared" ref="D152:J152" si="22">IF(D44=0,0,D151/D44*100)</f>
        <v>16.863733036256836</v>
      </c>
      <c r="E152" s="346">
        <f t="shared" si="22"/>
        <v>0</v>
      </c>
      <c r="F152" s="346">
        <f t="shared" si="22"/>
        <v>3.4231169499681071</v>
      </c>
      <c r="G152" s="346">
        <f t="shared" si="22"/>
        <v>4.1520966910684898</v>
      </c>
      <c r="H152" s="346">
        <f t="shared" si="22"/>
        <v>6.8266306184521799</v>
      </c>
      <c r="I152" s="346">
        <f t="shared" si="22"/>
        <v>19.043690834280653</v>
      </c>
      <c r="J152" s="346">
        <f t="shared" si="22"/>
        <v>20.271827416272501</v>
      </c>
      <c r="K152" s="346">
        <f>IF(K44=0,0,K151/K44*100)</f>
        <v>0</v>
      </c>
      <c r="L152" s="346">
        <f t="shared" ref="L152:O152" si="23">IF(L44=0,0,L151/L44*100)</f>
        <v>3.3721008249932334</v>
      </c>
      <c r="M152" s="346">
        <f t="shared" si="23"/>
        <v>3.8017531241335929</v>
      </c>
      <c r="N152" s="346">
        <f t="shared" si="23"/>
        <v>6.7028834449372283</v>
      </c>
      <c r="O152" s="346">
        <f t="shared" si="23"/>
        <v>26.779554005952633</v>
      </c>
    </row>
    <row r="153" spans="1:16" ht="12.75" customHeight="1" thickTop="1" thickBot="1">
      <c r="A153" s="863"/>
      <c r="B153" s="234" t="s">
        <v>116</v>
      </c>
      <c r="C153" s="179" t="s">
        <v>117</v>
      </c>
      <c r="D153" s="346">
        <f t="shared" ref="D153:J153" si="24">IF(D45=0,0,D151/D45*100)</f>
        <v>16.863733036256836</v>
      </c>
      <c r="E153" s="346">
        <f t="shared" si="24"/>
        <v>0</v>
      </c>
      <c r="F153" s="346">
        <f t="shared" si="24"/>
        <v>5.6234541888878518</v>
      </c>
      <c r="G153" s="346">
        <f t="shared" si="24"/>
        <v>4.6611226061524267</v>
      </c>
      <c r="H153" s="346">
        <f t="shared" si="24"/>
        <v>11.988048244251672</v>
      </c>
      <c r="I153" s="346">
        <f t="shared" si="24"/>
        <v>35.682772296552585</v>
      </c>
      <c r="J153" s="346">
        <f t="shared" si="24"/>
        <v>20.271827416272501</v>
      </c>
      <c r="K153" s="346">
        <f>IF(K45=0,0,K151/K45*100)</f>
        <v>0</v>
      </c>
      <c r="L153" s="346">
        <f t="shared" ref="L153:O153" si="25">IF(L45=0,0,L151/L45*100)</f>
        <v>5.4606911296780778</v>
      </c>
      <c r="M153" s="346">
        <f t="shared" si="25"/>
        <v>4.1699207949020929</v>
      </c>
      <c r="N153" s="346">
        <f t="shared" si="25"/>
        <v>11.42714354765319</v>
      </c>
      <c r="O153" s="346">
        <f t="shared" si="25"/>
        <v>52.272876300613177</v>
      </c>
    </row>
    <row r="154" spans="1:16" ht="12.75" customHeight="1" thickTop="1" thickBot="1">
      <c r="A154" s="863"/>
      <c r="B154" s="224" t="s">
        <v>118</v>
      </c>
      <c r="C154" s="225" t="s">
        <v>119</v>
      </c>
      <c r="D154" s="442">
        <f>SUM(E154:I154)</f>
        <v>27872.761749148642</v>
      </c>
      <c r="E154" s="442">
        <v>0</v>
      </c>
      <c r="F154" s="356">
        <f>'6 месяцев'!F154+июль!F154</f>
        <v>27872.761749148642</v>
      </c>
      <c r="G154" s="442">
        <v>0</v>
      </c>
      <c r="H154" s="442">
        <v>0</v>
      </c>
      <c r="I154" s="442">
        <v>0</v>
      </c>
      <c r="J154" s="442">
        <f>SUM(K154:O154)</f>
        <v>25929.5800838</v>
      </c>
      <c r="K154" s="442">
        <v>0</v>
      </c>
      <c r="L154" s="356">
        <f>'6 месяцев'!L154+июль!L154</f>
        <v>25929.5800838</v>
      </c>
      <c r="M154" s="442">
        <v>0</v>
      </c>
      <c r="N154" s="442">
        <v>0</v>
      </c>
      <c r="O154" s="442">
        <v>0</v>
      </c>
    </row>
    <row r="155" spans="1:16" ht="12.75" customHeight="1" thickTop="1" thickBot="1">
      <c r="A155" s="863"/>
      <c r="B155" s="227" t="s">
        <v>120</v>
      </c>
      <c r="C155" s="186" t="s">
        <v>121</v>
      </c>
      <c r="D155" s="443">
        <f>SUM(E155:I155)</f>
        <v>399630</v>
      </c>
      <c r="E155" s="448">
        <f>E151</f>
        <v>0</v>
      </c>
      <c r="F155" s="448">
        <f>F151</f>
        <v>61180</v>
      </c>
      <c r="G155" s="448">
        <f>G151</f>
        <v>29970</v>
      </c>
      <c r="H155" s="448">
        <f>H151</f>
        <v>119180</v>
      </c>
      <c r="I155" s="448">
        <f>I151</f>
        <v>189300</v>
      </c>
      <c r="J155" s="448">
        <f>SUM(K155:O155)</f>
        <v>455454.26400000008</v>
      </c>
      <c r="K155" s="448">
        <f>K151</f>
        <v>0</v>
      </c>
      <c r="L155" s="448">
        <f>L151</f>
        <v>59101.1504000001</v>
      </c>
      <c r="M155" s="448">
        <f>M151</f>
        <v>23346.975999999871</v>
      </c>
      <c r="N155" s="448">
        <f>N151</f>
        <v>111569.02959999989</v>
      </c>
      <c r="O155" s="448">
        <f>O151</f>
        <v>261437.10800000024</v>
      </c>
    </row>
    <row r="156" spans="1:16" ht="12.75" customHeight="1" thickTop="1" thickBot="1">
      <c r="A156" s="863"/>
      <c r="B156" s="227" t="s">
        <v>122</v>
      </c>
      <c r="C156" s="186" t="s">
        <v>167</v>
      </c>
      <c r="D156" s="444">
        <f>D157/1.18/D155</f>
        <v>1.6211466086004021</v>
      </c>
      <c r="E156" s="341">
        <v>1.6211466086004021</v>
      </c>
      <c r="F156" s="341">
        <v>1.6211466086004021</v>
      </c>
      <c r="G156" s="341">
        <v>1.6211466086004021</v>
      </c>
      <c r="H156" s="341">
        <v>1.6211466086004021</v>
      </c>
      <c r="I156" s="341">
        <v>1.6211466086004021</v>
      </c>
      <c r="J156" s="444">
        <f>J157/1.18/J155</f>
        <v>1.4957938334945569</v>
      </c>
      <c r="K156" s="341">
        <v>1.4957938334945571</v>
      </c>
      <c r="L156" s="341">
        <v>1.4957938334945571</v>
      </c>
      <c r="M156" s="341">
        <v>1.4957938334945571</v>
      </c>
      <c r="N156" s="341">
        <v>1.4957938334945571</v>
      </c>
      <c r="O156" s="341">
        <v>1.4957938334945571</v>
      </c>
    </row>
    <row r="157" spans="1:16" ht="12.75" customHeight="1" thickTop="1" thickBot="1">
      <c r="A157" s="863"/>
      <c r="B157" s="227" t="s">
        <v>124</v>
      </c>
      <c r="C157" s="186" t="s">
        <v>168</v>
      </c>
      <c r="D157" s="443">
        <f>SUM(E157:I157)</f>
        <v>764473.40665007476</v>
      </c>
      <c r="E157" s="443">
        <f>E155*E156*1.18</f>
        <v>0</v>
      </c>
      <c r="F157" s="443">
        <f>F155*F156*1.18</f>
        <v>117034.46442672366</v>
      </c>
      <c r="G157" s="443">
        <f>G155*G156*1.18</f>
        <v>57331.201354509773</v>
      </c>
      <c r="H157" s="443">
        <f>H155*H156*1.18</f>
        <v>227985.73831933519</v>
      </c>
      <c r="I157" s="443">
        <f>I155*I156*1.18</f>
        <v>362122.0025495062</v>
      </c>
      <c r="J157" s="448">
        <f>SUM(K157:O157)</f>
        <v>803893.50184540241</v>
      </c>
      <c r="K157" s="448">
        <f>K155*K156*1.18</f>
        <v>0</v>
      </c>
      <c r="L157" s="448">
        <f>L155*L156*1.18</f>
        <v>104315.70085849032</v>
      </c>
      <c r="M157" s="448">
        <f>M155*M156*1.18</f>
        <v>41208.270023223362</v>
      </c>
      <c r="N157" s="448">
        <f>N155*N156*1.18</f>
        <v>196923.43445188881</v>
      </c>
      <c r="O157" s="448">
        <f>O155*O156*1.18</f>
        <v>461446.09651180002</v>
      </c>
    </row>
    <row r="158" spans="1:16" ht="12.75" customHeight="1" thickTop="1" thickBot="1">
      <c r="A158" s="863"/>
      <c r="B158" s="229" t="s">
        <v>126</v>
      </c>
      <c r="C158" s="225" t="s">
        <v>127</v>
      </c>
      <c r="D158" s="445">
        <f>SUM(E158:I158)</f>
        <v>375600</v>
      </c>
      <c r="E158" s="356">
        <f>'6 месяцев'!E158+июль!E158</f>
        <v>0</v>
      </c>
      <c r="F158" s="356">
        <f>'6 месяцев'!F158+июль!F158</f>
        <v>61180</v>
      </c>
      <c r="G158" s="356">
        <f>'6 месяцев'!G158+июль!G158</f>
        <v>29970</v>
      </c>
      <c r="H158" s="356">
        <f>'6 месяцев'!H158+июль!H158</f>
        <v>119180</v>
      </c>
      <c r="I158" s="356">
        <f>'6 месяцев'!I158+июль!I158</f>
        <v>165270</v>
      </c>
      <c r="J158" s="442">
        <f>SUM(K158:O158)</f>
        <v>356752.28199999989</v>
      </c>
      <c r="K158" s="356">
        <f>'6 месяцев'!K158+июль!K158</f>
        <v>-5.6843418860808015E-13</v>
      </c>
      <c r="L158" s="356">
        <f>'6 месяцев'!L158+июль!L158</f>
        <v>59101.150400000013</v>
      </c>
      <c r="M158" s="356">
        <f>'6 месяцев'!M158+июль!M158</f>
        <v>23346.975999999988</v>
      </c>
      <c r="N158" s="356">
        <f>'6 месяцев'!N158+июль!N158</f>
        <v>111569.02959999991</v>
      </c>
      <c r="O158" s="356">
        <f>'6 месяцев'!O158+июль!O158</f>
        <v>162735.12599999999</v>
      </c>
    </row>
    <row r="159" spans="1:16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26">IF(D44=0,0,D158/D44*100)</f>
        <v>15.849706299372087</v>
      </c>
      <c r="E159" s="345">
        <f t="shared" si="26"/>
        <v>0</v>
      </c>
      <c r="F159" s="345">
        <f t="shared" si="26"/>
        <v>3.4231169499681071</v>
      </c>
      <c r="G159" s="345">
        <f t="shared" si="26"/>
        <v>4.1520966910684898</v>
      </c>
      <c r="H159" s="345">
        <f t="shared" si="26"/>
        <v>6.8266306184521799</v>
      </c>
      <c r="I159" s="345">
        <f t="shared" si="26"/>
        <v>16.626258764826009</v>
      </c>
      <c r="J159" s="345">
        <f t="shared" si="26"/>
        <v>15.878697956520558</v>
      </c>
      <c r="K159" s="345">
        <f>IF(K44=0,0,K158/K44*100)</f>
        <v>0</v>
      </c>
      <c r="L159" s="345">
        <f t="shared" si="26"/>
        <v>3.3721008249932285</v>
      </c>
      <c r="M159" s="345">
        <f t="shared" si="26"/>
        <v>3.8017531241336124</v>
      </c>
      <c r="N159" s="345">
        <f t="shared" si="26"/>
        <v>6.7028834449372283</v>
      </c>
      <c r="O159" s="345">
        <f t="shared" si="26"/>
        <v>16.669301954573726</v>
      </c>
      <c r="P159" s="25"/>
    </row>
    <row r="160" spans="1:16" ht="12.75" customHeight="1" thickTop="1" thickBot="1">
      <c r="A160" s="863"/>
      <c r="B160" s="230" t="s">
        <v>130</v>
      </c>
      <c r="C160" s="225" t="s">
        <v>131</v>
      </c>
      <c r="D160" s="345">
        <f t="shared" ref="D160:O160" si="27">IF(D45=0,0,D158/D45*100)</f>
        <v>15.849706299372087</v>
      </c>
      <c r="E160" s="345">
        <f t="shared" si="27"/>
        <v>0</v>
      </c>
      <c r="F160" s="345">
        <f t="shared" si="27"/>
        <v>5.6234541888878518</v>
      </c>
      <c r="G160" s="345">
        <f t="shared" si="27"/>
        <v>4.6611226061524267</v>
      </c>
      <c r="H160" s="345">
        <f t="shared" si="27"/>
        <v>11.988048244251672</v>
      </c>
      <c r="I160" s="345">
        <f t="shared" si="27"/>
        <v>31.153152548606684</v>
      </c>
      <c r="J160" s="345">
        <f t="shared" si="27"/>
        <v>15.878697956520558</v>
      </c>
      <c r="K160" s="345">
        <f t="shared" si="27"/>
        <v>0</v>
      </c>
      <c r="L160" s="345">
        <f t="shared" si="27"/>
        <v>5.4606911296780698</v>
      </c>
      <c r="M160" s="345">
        <f t="shared" si="27"/>
        <v>4.1699207949021133</v>
      </c>
      <c r="N160" s="345">
        <f t="shared" si="27"/>
        <v>11.427143547653191</v>
      </c>
      <c r="O160" s="345">
        <f t="shared" si="27"/>
        <v>32.53797127821155</v>
      </c>
      <c r="P160" s="25"/>
    </row>
    <row r="161" spans="1:15" ht="12.75" customHeight="1" thickTop="1" thickBot="1">
      <c r="A161" s="863"/>
      <c r="B161" s="231" t="s">
        <v>132</v>
      </c>
      <c r="C161" s="186" t="s">
        <v>133</v>
      </c>
      <c r="D161" s="443">
        <f>SUM(E161:I161)</f>
        <v>24030</v>
      </c>
      <c r="E161" s="251">
        <f>E151-E158</f>
        <v>0</v>
      </c>
      <c r="F161" s="448">
        <f>F151-F158</f>
        <v>0</v>
      </c>
      <c r="G161" s="448">
        <f>G151-G158</f>
        <v>0</v>
      </c>
      <c r="H161" s="448">
        <f>H151-H158</f>
        <v>0</v>
      </c>
      <c r="I161" s="448">
        <f>I151-I158</f>
        <v>24030</v>
      </c>
      <c r="J161" s="448">
        <f>SUM(K161:O161)</f>
        <v>98701.982000000222</v>
      </c>
      <c r="K161" s="448">
        <f>K151-K158</f>
        <v>5.6843418860808015E-13</v>
      </c>
      <c r="L161" s="448">
        <f>L151-L158</f>
        <v>8.7311491370201111E-11</v>
      </c>
      <c r="M161" s="448">
        <f>M151-M158</f>
        <v>-1.1641532182693481E-10</v>
      </c>
      <c r="N161" s="448">
        <f>N151-N158</f>
        <v>0</v>
      </c>
      <c r="O161" s="448">
        <f>O151-O158</f>
        <v>98701.982000000251</v>
      </c>
    </row>
    <row r="162" spans="1:15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1.0140267368847478</v>
      </c>
      <c r="E162" s="347">
        <f t="shared" ref="E162:I162" si="28">IF(E44=0,0,E161/E44*100)</f>
        <v>0</v>
      </c>
      <c r="F162" s="347">
        <f t="shared" si="28"/>
        <v>0</v>
      </c>
      <c r="G162" s="347">
        <f t="shared" si="28"/>
        <v>0</v>
      </c>
      <c r="H162" s="347">
        <f t="shared" si="28"/>
        <v>0</v>
      </c>
      <c r="I162" s="347">
        <f t="shared" si="28"/>
        <v>2.4174320694546445</v>
      </c>
      <c r="J162" s="347">
        <f>IF(J44=0,0,J161/J44*100)</f>
        <v>4.3931294597519432</v>
      </c>
      <c r="K162" s="347">
        <f>IF(K44=0,0,K161/K44*100)</f>
        <v>0</v>
      </c>
      <c r="L162" s="347">
        <f t="shared" ref="L162:O162" si="29">IF(L44=0,0,L161/L44*100)</f>
        <v>4.9816822530216644E-15</v>
      </c>
      <c r="M162" s="347">
        <f t="shared" si="29"/>
        <v>-1.8956729704633678E-14</v>
      </c>
      <c r="N162" s="347">
        <f t="shared" si="29"/>
        <v>0</v>
      </c>
      <c r="O162" s="347">
        <f t="shared" si="29"/>
        <v>10.110252051378907</v>
      </c>
    </row>
    <row r="163" spans="1:15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1.0140267368847478</v>
      </c>
      <c r="E163" s="347">
        <f t="shared" ref="E163:O163" si="30">IF(E45=0,0,E161/E45*100)</f>
        <v>0</v>
      </c>
      <c r="F163" s="347">
        <f t="shared" si="30"/>
        <v>0</v>
      </c>
      <c r="G163" s="347">
        <f t="shared" si="30"/>
        <v>0</v>
      </c>
      <c r="H163" s="347">
        <f t="shared" si="30"/>
        <v>0</v>
      </c>
      <c r="I163" s="347">
        <f t="shared" si="30"/>
        <v>4.5296197479458984</v>
      </c>
      <c r="J163" s="347">
        <f t="shared" si="30"/>
        <v>4.3931294597519432</v>
      </c>
      <c r="K163" s="347">
        <f t="shared" si="30"/>
        <v>0</v>
      </c>
      <c r="L163" s="347">
        <f t="shared" si="30"/>
        <v>8.067204838101094E-15</v>
      </c>
      <c r="M163" s="347">
        <f t="shared" si="30"/>
        <v>-2.0792528819636327E-14</v>
      </c>
      <c r="N163" s="347">
        <f t="shared" si="30"/>
        <v>0</v>
      </c>
      <c r="O163" s="347">
        <f t="shared" si="30"/>
        <v>19.734905022401627</v>
      </c>
    </row>
    <row r="164" spans="1:15">
      <c r="A164" s="94" t="s">
        <v>210</v>
      </c>
      <c r="D164" s="95"/>
      <c r="E164" s="95"/>
      <c r="F164" s="95"/>
      <c r="G164" s="95"/>
      <c r="H164" s="95"/>
      <c r="I164" s="95"/>
      <c r="J164" s="348"/>
      <c r="K164" s="348"/>
      <c r="L164" s="348"/>
      <c r="M164" s="348"/>
      <c r="N164" s="348"/>
      <c r="O164" s="348"/>
    </row>
    <row r="165" spans="1:15" ht="12.75" thickBot="1">
      <c r="D165" s="95"/>
      <c r="E165" s="93"/>
      <c r="F165" s="342"/>
      <c r="G165" s="342"/>
      <c r="H165" s="342"/>
      <c r="I165" s="342"/>
      <c r="J165" s="348"/>
      <c r="K165" s="348"/>
      <c r="L165" s="342"/>
      <c r="M165" s="342"/>
      <c r="N165" s="342"/>
      <c r="O165" s="342"/>
    </row>
    <row r="166" spans="1:15" ht="12.75" customHeight="1" thickBot="1">
      <c r="B166" s="854" t="s">
        <v>138</v>
      </c>
      <c r="C166" s="855" t="s">
        <v>139</v>
      </c>
      <c r="D166" s="842" t="s">
        <v>140</v>
      </c>
      <c r="E166" s="843"/>
      <c r="F166" s="843"/>
      <c r="G166" s="843"/>
      <c r="H166" s="843"/>
      <c r="I166" s="844"/>
      <c r="J166" s="842" t="s">
        <v>140</v>
      </c>
      <c r="K166" s="843"/>
      <c r="L166" s="843"/>
      <c r="M166" s="843"/>
      <c r="N166" s="843"/>
      <c r="O166" s="844"/>
    </row>
    <row r="167" spans="1:15">
      <c r="B167" s="854"/>
      <c r="C167" s="855"/>
      <c r="D167" s="96" t="s">
        <v>141</v>
      </c>
      <c r="E167" s="97"/>
      <c r="F167" s="97" t="s">
        <v>5</v>
      </c>
      <c r="G167" s="98" t="s">
        <v>74</v>
      </c>
      <c r="H167" s="98" t="s">
        <v>76</v>
      </c>
      <c r="I167" s="99" t="s">
        <v>8</v>
      </c>
      <c r="J167" s="96" t="s">
        <v>141</v>
      </c>
      <c r="K167" s="97"/>
      <c r="L167" s="97" t="s">
        <v>5</v>
      </c>
      <c r="M167" s="98" t="s">
        <v>74</v>
      </c>
      <c r="N167" s="98" t="s">
        <v>76</v>
      </c>
      <c r="O167" s="99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>
        <f>D174+D175+D176</f>
        <v>2369760</v>
      </c>
      <c r="E169" s="35"/>
      <c r="F169" s="36">
        <f>F170+F174+F175+F176</f>
        <v>1787260</v>
      </c>
      <c r="G169" s="36">
        <f>G170+G174+G175+G176</f>
        <v>704264</v>
      </c>
      <c r="H169" s="36">
        <f>H170+H174+H175+H176</f>
        <v>1609270</v>
      </c>
      <c r="I169" s="37">
        <f>I170+I174+I175+I176</f>
        <v>994030</v>
      </c>
      <c r="J169" s="34">
        <f>J174+J175+J176</f>
        <v>2246735.1100000003</v>
      </c>
      <c r="K169" s="35"/>
      <c r="L169" s="36">
        <f>L170+L174+L175+L176</f>
        <v>1752650.7500000002</v>
      </c>
      <c r="M169" s="36">
        <f>M170+M174+M175+M176</f>
        <v>599069.84720000008</v>
      </c>
      <c r="N169" s="36">
        <f>N170+N174+N175+N176</f>
        <v>1537287.0456000001</v>
      </c>
      <c r="O169" s="37">
        <f>O170+O174+O175+O176</f>
        <v>976256.39300000016</v>
      </c>
    </row>
    <row r="170" spans="1:15" ht="12.75">
      <c r="B170" s="38" t="s">
        <v>12</v>
      </c>
      <c r="C170" s="39" t="s">
        <v>143</v>
      </c>
      <c r="D170" s="675">
        <f t="shared" ref="D170:D177" si="31">SUM(F170:I170)</f>
        <v>2725064</v>
      </c>
      <c r="E170" s="676"/>
      <c r="F170" s="676"/>
      <c r="G170" s="677">
        <f>SUM(G171:G173)</f>
        <v>347734</v>
      </c>
      <c r="H170" s="677">
        <f>SUM(H171:H173)</f>
        <v>1383180</v>
      </c>
      <c r="I170" s="678">
        <f>SUM(I171:I173)</f>
        <v>994150</v>
      </c>
      <c r="J170" s="675">
        <f t="shared" ref="J170:J177" si="32">SUM(L170:O170)</f>
        <v>2618528.9258000003</v>
      </c>
      <c r="K170" s="676"/>
      <c r="L170" s="676"/>
      <c r="M170" s="677">
        <f>SUM(M171:M173)</f>
        <v>316265.17620000005</v>
      </c>
      <c r="N170" s="677">
        <f>SUM(N171:N173)</f>
        <v>1325919.4586</v>
      </c>
      <c r="O170" s="678">
        <f>SUM(O171:O173)</f>
        <v>976344.2910000002</v>
      </c>
    </row>
    <row r="171" spans="1:15" ht="12.75">
      <c r="B171" s="40" t="s">
        <v>144</v>
      </c>
      <c r="C171" s="41" t="s">
        <v>145</v>
      </c>
      <c r="D171" s="42">
        <f t="shared" si="31"/>
        <v>1087940</v>
      </c>
      <c r="E171" s="43"/>
      <c r="F171" s="44"/>
      <c r="G171" s="45">
        <f>G31-G49-G61-G73-G85-G97-G78-G109-G121-G54-G66-G90-G102-G114-G126</f>
        <v>347734</v>
      </c>
      <c r="H171" s="45">
        <f>H31-H49-H61-H73-H85-H97-H78-H54-H109-H66-H90-H102-H114-H121-H126</f>
        <v>740206</v>
      </c>
      <c r="I171" s="46"/>
      <c r="J171" s="42">
        <f t="shared" si="32"/>
        <v>1082298.2816000001</v>
      </c>
      <c r="K171" s="43"/>
      <c r="L171" s="44"/>
      <c r="M171" s="45">
        <f>M31-M49-M61-M73-M85-M97-M78-M109-M121-M54-M66-M90-M102-M114-M126</f>
        <v>316265.17620000005</v>
      </c>
      <c r="N171" s="45">
        <f>N31-N49-N61-N73-N85-N97-N78-N54-N109-N66-N90-N102-N114-N121-N126</f>
        <v>766033.10540000012</v>
      </c>
      <c r="O171" s="46"/>
    </row>
    <row r="172" spans="1:15" ht="12.75">
      <c r="B172" s="47" t="s">
        <v>146</v>
      </c>
      <c r="C172" s="48" t="s">
        <v>6</v>
      </c>
      <c r="D172" s="42">
        <f t="shared" si="31"/>
        <v>642974</v>
      </c>
      <c r="E172" s="43"/>
      <c r="F172" s="44"/>
      <c r="G172" s="49"/>
      <c r="H172" s="45">
        <f>H32-H50-H62-H74-H86-H98-H110-H55-H67-H79-H91-H103-H115-H122-H127</f>
        <v>642974</v>
      </c>
      <c r="I172" s="50">
        <f>I32-I50-I55-I62-I67-I74-I79-I86-I91-I98-I103-I110-I115-I122-I127</f>
        <v>0</v>
      </c>
      <c r="J172" s="42">
        <f t="shared" si="32"/>
        <v>559886.35320000001</v>
      </c>
      <c r="K172" s="43"/>
      <c r="L172" s="44"/>
      <c r="M172" s="49"/>
      <c r="N172" s="45">
        <f>N32-N50-N62-N74-N86-N98-N110-N55-N67-N79-N91-N103-N115-N122-N127</f>
        <v>559886.35320000001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>
        <f t="shared" si="31"/>
        <v>994150</v>
      </c>
      <c r="E173" s="54"/>
      <c r="F173" s="55"/>
      <c r="G173" s="56"/>
      <c r="H173" s="56"/>
      <c r="I173" s="57">
        <f>I33-I51-I87-I75-I99-I111-I56-I63-I68-I80-I92-I104-I116-I123-I128</f>
        <v>994150</v>
      </c>
      <c r="J173" s="53">
        <f t="shared" si="32"/>
        <v>976344.2910000002</v>
      </c>
      <c r="K173" s="54"/>
      <c r="L173" s="55"/>
      <c r="M173" s="56"/>
      <c r="N173" s="56"/>
      <c r="O173" s="57">
        <f>O33-O51-O87-O75-O99-O111-O56-O63-O68-O80-O92-O104-O116-O123-O128</f>
        <v>976344.2910000002</v>
      </c>
    </row>
    <row r="174" spans="1:15" ht="12.75">
      <c r="B174" s="58" t="s">
        <v>14</v>
      </c>
      <c r="C174" s="39" t="s">
        <v>148</v>
      </c>
      <c r="D174" s="110">
        <f t="shared" si="31"/>
        <v>1402345</v>
      </c>
      <c r="E174" s="111"/>
      <c r="F174" s="111">
        <f>F28+E28</f>
        <v>1134205</v>
      </c>
      <c r="G174" s="112">
        <f>G28</f>
        <v>246200</v>
      </c>
      <c r="H174" s="112">
        <f>H28</f>
        <v>21940</v>
      </c>
      <c r="I174" s="113">
        <f>I28</f>
        <v>0</v>
      </c>
      <c r="J174" s="110">
        <f t="shared" si="32"/>
        <v>1654726.1300000004</v>
      </c>
      <c r="K174" s="111"/>
      <c r="L174" s="111">
        <f>L28+K28</f>
        <v>1444339.4290000002</v>
      </c>
      <c r="M174" s="112">
        <f>M28</f>
        <v>190791.17499999999</v>
      </c>
      <c r="N174" s="112">
        <f>N28</f>
        <v>19595.526000000002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>
        <f t="shared" si="31"/>
        <v>956915</v>
      </c>
      <c r="E175" s="124"/>
      <c r="F175" s="125">
        <f>F23+F24+F25+E23+E24+E25</f>
        <v>653055</v>
      </c>
      <c r="G175" s="125">
        <f>G23+G24+G25</f>
        <v>99830</v>
      </c>
      <c r="H175" s="125">
        <f>H23+H24+H25</f>
        <v>204150</v>
      </c>
      <c r="I175" s="126">
        <f>I23+I24+I25</f>
        <v>-120</v>
      </c>
      <c r="J175" s="123">
        <f t="shared" si="32"/>
        <v>590233.17999999993</v>
      </c>
      <c r="K175" s="124"/>
      <c r="L175" s="125">
        <f>L23+L24+L25+K23+K24+K25</f>
        <v>308311.32100000005</v>
      </c>
      <c r="M175" s="125">
        <f>M23+M24+M25</f>
        <v>90237.695999999982</v>
      </c>
      <c r="N175" s="125">
        <f>N23+N24+N25</f>
        <v>191772.06099999999</v>
      </c>
      <c r="O175" s="126">
        <f>O23+O24+O25</f>
        <v>-87.898000000000025</v>
      </c>
    </row>
    <row r="176" spans="1:15" ht="13.5" thickBot="1">
      <c r="B176" s="61" t="s">
        <v>20</v>
      </c>
      <c r="C176" s="62" t="s">
        <v>150</v>
      </c>
      <c r="D176" s="129">
        <f t="shared" si="31"/>
        <v>10500</v>
      </c>
      <c r="E176" s="130"/>
      <c r="F176" s="131">
        <f>F29+E29</f>
        <v>0</v>
      </c>
      <c r="G176" s="131">
        <f>G29</f>
        <v>10500</v>
      </c>
      <c r="H176" s="131">
        <f>H29</f>
        <v>0</v>
      </c>
      <c r="I176" s="132">
        <f>I29</f>
        <v>0</v>
      </c>
      <c r="J176" s="129">
        <f t="shared" si="32"/>
        <v>1775.7999999999993</v>
      </c>
      <c r="K176" s="130"/>
      <c r="L176" s="131">
        <f>L29+K29</f>
        <v>0</v>
      </c>
      <c r="M176" s="131">
        <f>M29</f>
        <v>1775.7999999999993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31"/>
        <v>399630</v>
      </c>
      <c r="E177" s="136"/>
      <c r="F177" s="136">
        <f>F169-F180-G171-H171</f>
        <v>61180</v>
      </c>
      <c r="G177" s="136">
        <f>G169-G180-H172-I172</f>
        <v>29970</v>
      </c>
      <c r="H177" s="136">
        <f>H169-H180-I173</f>
        <v>119180</v>
      </c>
      <c r="I177" s="137">
        <f>I169-I180</f>
        <v>189300</v>
      </c>
      <c r="J177" s="716">
        <f t="shared" si="32"/>
        <v>455454.26399999997</v>
      </c>
      <c r="K177" s="136"/>
      <c r="L177" s="714">
        <f>L169-L180-M171-N171</f>
        <v>59101.150399999809</v>
      </c>
      <c r="M177" s="714">
        <f>M169-M180-N172-O172</f>
        <v>23346.976000000024</v>
      </c>
      <c r="N177" s="714">
        <f>N169-N180-O173</f>
        <v>111569.02960000001</v>
      </c>
      <c r="O177" s="715">
        <f>O169-O180</f>
        <v>261437.10800000012</v>
      </c>
    </row>
    <row r="178" spans="1:15" ht="13.5" thickBot="1">
      <c r="B178" s="64"/>
      <c r="C178" s="65" t="s">
        <v>152</v>
      </c>
      <c r="D178" s="441">
        <f>IF(D169=0,0,D177/D169*100)</f>
        <v>16.863733036256836</v>
      </c>
      <c r="E178" s="140"/>
      <c r="F178" s="441">
        <f t="shared" ref="F178:I178" si="33">IF(F169=0,0,F177/F169*100)</f>
        <v>3.4231169499681071</v>
      </c>
      <c r="G178" s="441">
        <f t="shared" si="33"/>
        <v>4.2555064578055957</v>
      </c>
      <c r="H178" s="441">
        <f t="shared" si="33"/>
        <v>7.4058424005915722</v>
      </c>
      <c r="I178" s="718">
        <f t="shared" si="33"/>
        <v>19.043690834280653</v>
      </c>
      <c r="J178" s="719">
        <f>IF(J169=0,0,J177/J169*100)</f>
        <v>20.27182741627249</v>
      </c>
      <c r="K178" s="140"/>
      <c r="L178" s="441">
        <f t="shared" ref="L178:O178" si="34">IF(L169=0,0,L177/L169*100)</f>
        <v>3.3721008249932169</v>
      </c>
      <c r="M178" s="441">
        <f t="shared" si="34"/>
        <v>3.8972043258597875</v>
      </c>
      <c r="N178" s="441">
        <f t="shared" si="34"/>
        <v>7.2575274682325084</v>
      </c>
      <c r="O178" s="441">
        <f t="shared" si="34"/>
        <v>26.779554005952622</v>
      </c>
    </row>
    <row r="179" spans="1:15" ht="26.25" thickBot="1">
      <c r="B179" s="66" t="s">
        <v>38</v>
      </c>
      <c r="C179" s="67" t="s">
        <v>153</v>
      </c>
      <c r="D179" s="143">
        <f t="shared" ref="D179:D184" si="35">SUM(F179:I179)</f>
        <v>0</v>
      </c>
      <c r="E179" s="144"/>
      <c r="F179" s="144"/>
      <c r="G179" s="145"/>
      <c r="H179" s="145"/>
      <c r="I179" s="146"/>
      <c r="J179" s="143">
        <f t="shared" ref="J179:J180" si="36">SUM(L179:O179)</f>
        <v>0</v>
      </c>
      <c r="K179" s="144"/>
      <c r="L179" s="144"/>
      <c r="M179" s="145"/>
      <c r="N179" s="145"/>
      <c r="O179" s="146"/>
    </row>
    <row r="180" spans="1:15" ht="13.5" thickBot="1">
      <c r="B180" s="68" t="s">
        <v>52</v>
      </c>
      <c r="C180" s="69" t="s">
        <v>154</v>
      </c>
      <c r="D180" s="143">
        <f t="shared" si="35"/>
        <v>1970130</v>
      </c>
      <c r="E180" s="144"/>
      <c r="F180" s="682">
        <f>F143+E143</f>
        <v>638140</v>
      </c>
      <c r="G180" s="682">
        <f>G143+G194</f>
        <v>31320</v>
      </c>
      <c r="H180" s="682">
        <f>H143+H194</f>
        <v>495940.00000000006</v>
      </c>
      <c r="I180" s="683">
        <f>I143+I194</f>
        <v>804730</v>
      </c>
      <c r="J180" s="143">
        <f t="shared" si="36"/>
        <v>1791280.8459999999</v>
      </c>
      <c r="K180" s="144"/>
      <c r="L180" s="682">
        <f>L143+K143</f>
        <v>611251.31800000009</v>
      </c>
      <c r="M180" s="682">
        <f>M143+M194</f>
        <v>15836.518</v>
      </c>
      <c r="N180" s="682">
        <f>N143+N194</f>
        <v>449373.72499999992</v>
      </c>
      <c r="O180" s="683">
        <f>O143+O194</f>
        <v>714819.28500000003</v>
      </c>
    </row>
    <row r="181" spans="1:15" ht="12.75">
      <c r="B181" s="70" t="s">
        <v>54</v>
      </c>
      <c r="C181" s="71" t="s">
        <v>155</v>
      </c>
      <c r="D181" s="151">
        <f t="shared" si="35"/>
        <v>0</v>
      </c>
      <c r="E181" s="152"/>
      <c r="F181" s="152"/>
      <c r="G181" s="153"/>
      <c r="H181" s="153"/>
      <c r="I181" s="154"/>
      <c r="J181" s="151">
        <f t="shared" ref="J181:J184" si="37">SUM(L181:O181)</f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5"/>
        <v>0</v>
      </c>
      <c r="E182" s="158"/>
      <c r="F182" s="159"/>
      <c r="G182" s="159"/>
      <c r="H182" s="159"/>
      <c r="I182" s="160"/>
      <c r="J182" s="157">
        <f t="shared" si="37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5"/>
        <v>0</v>
      </c>
      <c r="E183" s="164"/>
      <c r="F183" s="164"/>
      <c r="G183" s="165"/>
      <c r="H183" s="165"/>
      <c r="I183" s="166"/>
      <c r="J183" s="163">
        <f t="shared" si="37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5"/>
        <v>0</v>
      </c>
      <c r="E184" s="111"/>
      <c r="F184" s="111"/>
      <c r="G184" s="112"/>
      <c r="H184" s="112"/>
      <c r="I184" s="113"/>
      <c r="J184" s="110">
        <f t="shared" si="37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8" spans="1:15" ht="12.75" customHeight="1">
      <c r="A188" s="832"/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591"/>
      <c r="M189" s="591"/>
      <c r="N189" s="591"/>
      <c r="O189" s="59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483"/>
      <c r="B194" s="484"/>
      <c r="C194" s="483" t="s">
        <v>193</v>
      </c>
      <c r="D194" s="483"/>
      <c r="E194" s="483"/>
      <c r="F194" s="483"/>
      <c r="G194" s="521">
        <f>'6 месяцев'!G194+июль!G194</f>
        <v>1840.3999999999999</v>
      </c>
      <c r="H194" s="521">
        <f>'6 месяцев'!H194+июль!H194</f>
        <v>9131.2000000000007</v>
      </c>
      <c r="I194" s="521">
        <f>'6 месяцев'!I194+июль!I194</f>
        <v>7617</v>
      </c>
      <c r="J194" s="483"/>
      <c r="K194" s="483"/>
      <c r="L194" s="483"/>
      <c r="M194" s="483"/>
      <c r="N194" s="625">
        <f>'6 месяцев'!N194+июль!N194</f>
        <v>6645.6609999999991</v>
      </c>
      <c r="O194" s="625">
        <f>'6 месяцев'!O194+июль!O194</f>
        <v>8660.3359999999993</v>
      </c>
    </row>
    <row r="195" spans="1:15">
      <c r="A195" s="483"/>
      <c r="B195" s="484"/>
      <c r="C195" s="483" t="s">
        <v>196</v>
      </c>
      <c r="D195" s="483"/>
      <c r="E195" s="483"/>
      <c r="F195" s="521">
        <f>'6 месяцев'!F195+июль!F195</f>
        <v>83121.868047447002</v>
      </c>
      <c r="G195" s="483"/>
      <c r="H195" s="483"/>
      <c r="I195" s="483"/>
      <c r="J195" s="483"/>
      <c r="K195" s="483"/>
      <c r="L195" s="521">
        <f>'6 месяцев'!L195+июль!L195</f>
        <v>74735.831170000005</v>
      </c>
      <c r="M195" s="483"/>
      <c r="N195" s="483"/>
      <c r="O195" s="483"/>
    </row>
    <row r="198" spans="1:15">
      <c r="L198" s="592"/>
      <c r="M198" s="321"/>
      <c r="N198" s="321"/>
      <c r="O198" s="321"/>
    </row>
    <row r="199" spans="1:15">
      <c r="F199" s="318"/>
      <c r="G199" s="318"/>
      <c r="H199" s="318"/>
      <c r="I199" s="318"/>
      <c r="L199" s="586"/>
      <c r="M199" s="586"/>
      <c r="N199" s="586"/>
      <c r="O199" s="586"/>
    </row>
    <row r="200" spans="1:15">
      <c r="D200" s="321"/>
    </row>
  </sheetData>
  <mergeCells count="25">
    <mergeCell ref="A188:O188"/>
    <mergeCell ref="D166:I166"/>
    <mergeCell ref="J166:O166"/>
    <mergeCell ref="A46:A150"/>
    <mergeCell ref="A151:A163"/>
    <mergeCell ref="B166:B167"/>
    <mergeCell ref="C166:C167"/>
    <mergeCell ref="A6:A29"/>
    <mergeCell ref="A30:A43"/>
    <mergeCell ref="I4:I5"/>
    <mergeCell ref="J4:J5"/>
    <mergeCell ref="K4:L4"/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</mergeCells>
  <phoneticPr fontId="0" type="noConversion"/>
  <pageMargins left="0.86614173228346458" right="0.27559055118110237" top="0.74803149606299213" bottom="0.55118110236220474" header="0.51181102362204722" footer="0.51181102362204722"/>
  <pageSetup paperSize="9" scale="64" firstPageNumber="0" orientation="landscape" horizontalDpi="300" verticalDpi="300" r:id="rId1"/>
  <headerFooter alignWithMargins="0"/>
  <rowBreaks count="2" manualBreakCount="2">
    <brk id="57" max="14" man="1"/>
    <brk id="153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99"/>
  <sheetViews>
    <sheetView view="pageBreakPreview" zoomScale="90" zoomScaleSheetLayoutView="90" workbookViewId="0">
      <pane xSplit="3" ySplit="5" topLeftCell="D131" activePane="bottomRight" state="frozen"/>
      <selection pane="topRight" activeCell="D1" sqref="D1"/>
      <selection pane="bottomLeft" activeCell="A63" sqref="A63"/>
      <selection pane="bottomRight" activeCell="L151" activeCellId="2" sqref="L44:O44 L46:O46 L151:O151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.5703125" style="1" customWidth="1"/>
    <col min="6" max="6" width="11.85546875" style="1" customWidth="1"/>
    <col min="7" max="7" width="11.140625" style="1" customWidth="1"/>
    <col min="8" max="8" width="10.5703125" style="1" customWidth="1"/>
    <col min="9" max="9" width="11" style="1" customWidth="1"/>
    <col min="10" max="10" width="11.85546875" style="1" customWidth="1"/>
    <col min="11" max="11" width="11.140625" style="1" customWidth="1"/>
    <col min="12" max="12" width="11.28515625" style="1" customWidth="1"/>
    <col min="13" max="14" width="10.28515625" style="1" customWidth="1"/>
    <col min="15" max="15" width="11.5703125" style="1" customWidth="1"/>
    <col min="16" max="16" width="5.140625" style="1" customWidth="1"/>
    <col min="17" max="17" width="10" style="1" customWidth="1"/>
    <col min="18" max="18" width="9.140625" style="1"/>
    <col min="19" max="19" width="10.42578125" style="1" bestFit="1" customWidth="1"/>
    <col min="20" max="16384" width="9.140625" style="1"/>
  </cols>
  <sheetData>
    <row r="1" spans="1:15" ht="15.75">
      <c r="A1" s="817" t="s">
        <v>225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" customHeight="1" thickBot="1">
      <c r="A3" s="856"/>
      <c r="B3" s="857" t="s">
        <v>0</v>
      </c>
      <c r="C3" s="858" t="s">
        <v>1</v>
      </c>
      <c r="D3" s="824" t="s">
        <v>2</v>
      </c>
      <c r="E3" s="825"/>
      <c r="F3" s="825"/>
      <c r="G3" s="825"/>
      <c r="H3" s="825"/>
      <c r="I3" s="826"/>
      <c r="J3" s="827" t="s">
        <v>3</v>
      </c>
      <c r="K3" s="828"/>
      <c r="L3" s="828"/>
      <c r="M3" s="828"/>
      <c r="N3" s="828"/>
      <c r="O3" s="829"/>
    </row>
    <row r="4" spans="1:15" s="3" customFormat="1" ht="12.75" customHeight="1" thickTop="1" thickBot="1">
      <c r="A4" s="856"/>
      <c r="B4" s="857"/>
      <c r="C4" s="858"/>
      <c r="D4" s="830" t="s">
        <v>4</v>
      </c>
      <c r="E4" s="835" t="s">
        <v>5</v>
      </c>
      <c r="F4" s="835"/>
      <c r="G4" s="835" t="s">
        <v>6</v>
      </c>
      <c r="H4" s="835" t="s">
        <v>7</v>
      </c>
      <c r="I4" s="820" t="s">
        <v>8</v>
      </c>
      <c r="J4" s="831" t="s">
        <v>4</v>
      </c>
      <c r="K4" s="833" t="s">
        <v>5</v>
      </c>
      <c r="L4" s="834"/>
      <c r="M4" s="818" t="s">
        <v>6</v>
      </c>
      <c r="N4" s="818" t="s">
        <v>7</v>
      </c>
      <c r="O4" s="820" t="s">
        <v>8</v>
      </c>
    </row>
    <row r="5" spans="1:15" s="6" customFormat="1" ht="13.5" thickTop="1" thickBot="1">
      <c r="A5" s="856"/>
      <c r="B5" s="857"/>
      <c r="C5" s="858"/>
      <c r="D5" s="831"/>
      <c r="E5" s="86">
        <v>220</v>
      </c>
      <c r="F5" s="86">
        <v>110</v>
      </c>
      <c r="G5" s="818"/>
      <c r="H5" s="818"/>
      <c r="I5" s="846"/>
      <c r="J5" s="845"/>
      <c r="K5" s="87">
        <v>220</v>
      </c>
      <c r="L5" s="242">
        <v>110</v>
      </c>
      <c r="M5" s="819"/>
      <c r="N5" s="819"/>
      <c r="O5" s="821"/>
    </row>
    <row r="6" spans="1:15" ht="13.5" thickTop="1" thickBot="1">
      <c r="A6" s="862" t="s">
        <v>9</v>
      </c>
      <c r="B6" s="179" t="s">
        <v>10</v>
      </c>
      <c r="C6" s="179" t="s">
        <v>11</v>
      </c>
      <c r="D6" s="352">
        <f t="shared" ref="D6:I6" si="0">SUM(D7:D9,D12,D14)</f>
        <v>371930</v>
      </c>
      <c r="E6" s="353">
        <f t="shared" si="0"/>
        <v>0</v>
      </c>
      <c r="F6" s="353">
        <f t="shared" si="0"/>
        <v>310270</v>
      </c>
      <c r="G6" s="353">
        <f t="shared" si="0"/>
        <v>34640</v>
      </c>
      <c r="H6" s="353">
        <f t="shared" si="0"/>
        <v>27010</v>
      </c>
      <c r="I6" s="353">
        <f t="shared" si="0"/>
        <v>10</v>
      </c>
      <c r="J6" s="244">
        <f t="shared" ref="J6:O6" si="1">SUM(J7:J9,J12,J14)</f>
        <v>440462.20399999997</v>
      </c>
      <c r="K6" s="245">
        <f t="shared" si="1"/>
        <v>0</v>
      </c>
      <c r="L6" s="245">
        <f t="shared" si="1"/>
        <v>377320.24</v>
      </c>
      <c r="M6" s="245">
        <f t="shared" si="1"/>
        <v>38435.47</v>
      </c>
      <c r="N6" s="245">
        <f t="shared" si="1"/>
        <v>24694.409</v>
      </c>
      <c r="O6" s="245">
        <f t="shared" si="1"/>
        <v>12.085000000000001</v>
      </c>
    </row>
    <row r="7" spans="1:15" ht="13.5" thickTop="1" thickBot="1">
      <c r="A7" s="862"/>
      <c r="B7" s="182" t="s">
        <v>12</v>
      </c>
      <c r="C7" s="182" t="s">
        <v>13</v>
      </c>
      <c r="D7" s="354">
        <f>SUM(E7:I7)</f>
        <v>0</v>
      </c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247">
        <f>SUM(K7:O7)</f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</row>
    <row r="8" spans="1:15" ht="13.5" thickTop="1" thickBot="1">
      <c r="A8" s="862"/>
      <c r="B8" s="182" t="s">
        <v>14</v>
      </c>
      <c r="C8" s="182" t="s">
        <v>15</v>
      </c>
      <c r="D8" s="354">
        <f>SUM(E8:I8)</f>
        <v>185090</v>
      </c>
      <c r="E8" s="356"/>
      <c r="F8" s="356">
        <v>150040</v>
      </c>
      <c r="G8" s="356">
        <v>11980</v>
      </c>
      <c r="H8" s="356">
        <v>23060</v>
      </c>
      <c r="I8" s="356">
        <v>10</v>
      </c>
      <c r="J8" s="247">
        <f>SUM(K8:O8)</f>
        <v>176960.39499999999</v>
      </c>
      <c r="K8" s="333"/>
      <c r="L8" s="333">
        <v>143911.201</v>
      </c>
      <c r="M8" s="333">
        <v>11350.98</v>
      </c>
      <c r="N8" s="333">
        <v>21686.129000000001</v>
      </c>
      <c r="O8" s="333">
        <v>12.085000000000001</v>
      </c>
    </row>
    <row r="9" spans="1:15" ht="13.5" thickTop="1" thickBot="1">
      <c r="A9" s="862"/>
      <c r="B9" s="182" t="s">
        <v>16</v>
      </c>
      <c r="C9" s="182" t="s">
        <v>17</v>
      </c>
      <c r="D9" s="354">
        <f t="shared" ref="D9:I9" si="2">SUM(D10:D11)</f>
        <v>16810</v>
      </c>
      <c r="E9" s="355">
        <f t="shared" si="2"/>
        <v>0</v>
      </c>
      <c r="F9" s="355">
        <f t="shared" si="2"/>
        <v>16810</v>
      </c>
      <c r="G9" s="355">
        <f t="shared" si="2"/>
        <v>0</v>
      </c>
      <c r="H9" s="355">
        <f t="shared" si="2"/>
        <v>0</v>
      </c>
      <c r="I9" s="355">
        <f t="shared" si="2"/>
        <v>0</v>
      </c>
      <c r="J9" s="247">
        <f t="shared" ref="J9:O9" si="3">SUM(J10:J11)</f>
        <v>2260.2020000000002</v>
      </c>
      <c r="K9" s="248">
        <f t="shared" si="3"/>
        <v>0</v>
      </c>
      <c r="L9" s="248">
        <f t="shared" si="3"/>
        <v>2260.2020000000002</v>
      </c>
      <c r="M9" s="248">
        <f t="shared" si="3"/>
        <v>0</v>
      </c>
      <c r="N9" s="248">
        <f t="shared" si="3"/>
        <v>0</v>
      </c>
      <c r="O9" s="248">
        <f t="shared" si="3"/>
        <v>0</v>
      </c>
    </row>
    <row r="10" spans="1:15" ht="13.5" thickTop="1" thickBot="1">
      <c r="A10" s="862"/>
      <c r="B10" s="186" t="s">
        <v>18</v>
      </c>
      <c r="C10" s="187" t="s">
        <v>192</v>
      </c>
      <c r="D10" s="357">
        <f>SUM(F10:I10)</f>
        <v>13510</v>
      </c>
      <c r="E10" s="358"/>
      <c r="F10" s="360">
        <v>13510</v>
      </c>
      <c r="G10" s="358"/>
      <c r="H10" s="358"/>
      <c r="I10" s="358"/>
      <c r="J10" s="251">
        <f>SUM(L10:O10)</f>
        <v>1382.93</v>
      </c>
      <c r="K10" s="252"/>
      <c r="L10" s="289">
        <v>1382.93</v>
      </c>
      <c r="M10" s="252"/>
      <c r="N10" s="252"/>
      <c r="O10" s="252"/>
    </row>
    <row r="11" spans="1:15" ht="13.5" thickTop="1" thickBot="1">
      <c r="A11" s="862"/>
      <c r="B11" s="186" t="s">
        <v>19</v>
      </c>
      <c r="C11" s="187" t="s">
        <v>191</v>
      </c>
      <c r="D11" s="357">
        <f>SUM(F11:I11)</f>
        <v>3300</v>
      </c>
      <c r="E11" s="358"/>
      <c r="F11" s="360">
        <v>3300</v>
      </c>
      <c r="G11" s="358"/>
      <c r="H11" s="358"/>
      <c r="I11" s="358"/>
      <c r="J11" s="251">
        <f>SUM(L11:O11)</f>
        <v>877.27200000000005</v>
      </c>
      <c r="K11" s="252"/>
      <c r="L11" s="289">
        <v>877.27200000000005</v>
      </c>
      <c r="M11" s="252"/>
      <c r="N11" s="252"/>
      <c r="O11" s="252"/>
    </row>
    <row r="12" spans="1:15" ht="13.5" thickTop="1" thickBot="1">
      <c r="A12" s="862"/>
      <c r="B12" s="182" t="s">
        <v>20</v>
      </c>
      <c r="C12" s="182" t="s">
        <v>21</v>
      </c>
      <c r="D12" s="354">
        <f>SUM(E12:I12)</f>
        <v>170030</v>
      </c>
      <c r="E12" s="355"/>
      <c r="F12" s="356">
        <v>143420</v>
      </c>
      <c r="G12" s="356">
        <v>22660</v>
      </c>
      <c r="H12" s="356">
        <v>3950</v>
      </c>
      <c r="I12" s="355"/>
      <c r="J12" s="247">
        <f>SUM(K12:O12)</f>
        <v>261241.60699999999</v>
      </c>
      <c r="K12" s="248"/>
      <c r="L12" s="333">
        <v>231148.837</v>
      </c>
      <c r="M12" s="333">
        <v>27084.49</v>
      </c>
      <c r="N12" s="333">
        <v>3008.28</v>
      </c>
      <c r="O12" s="248"/>
    </row>
    <row r="13" spans="1:15" ht="13.5" thickTop="1" thickBot="1">
      <c r="A13" s="862"/>
      <c r="B13" s="186" t="s">
        <v>22</v>
      </c>
      <c r="C13" s="187" t="s">
        <v>23</v>
      </c>
      <c r="D13" s="354">
        <f>SUM(E13:I13)</f>
        <v>0</v>
      </c>
      <c r="E13" s="355"/>
      <c r="F13" s="358"/>
      <c r="G13" s="358"/>
      <c r="H13" s="358"/>
      <c r="I13" s="358"/>
      <c r="J13" s="247">
        <f>SUM(K13:O13)</f>
        <v>0</v>
      </c>
      <c r="K13" s="248"/>
      <c r="L13" s="252"/>
      <c r="M13" s="252"/>
      <c r="N13" s="358"/>
      <c r="O13" s="252"/>
    </row>
    <row r="14" spans="1:15" ht="13.5" thickTop="1" thickBot="1">
      <c r="A14" s="862"/>
      <c r="B14" s="182" t="s">
        <v>24</v>
      </c>
      <c r="C14" s="182" t="s">
        <v>25</v>
      </c>
      <c r="D14" s="354">
        <f>SUM(E14:I14)</f>
        <v>0</v>
      </c>
      <c r="E14" s="355"/>
      <c r="F14" s="355"/>
      <c r="G14" s="356">
        <v>0</v>
      </c>
      <c r="H14" s="355"/>
      <c r="I14" s="355"/>
      <c r="J14" s="247">
        <f>SUM(K14:O14)</f>
        <v>0</v>
      </c>
      <c r="K14" s="248"/>
      <c r="L14" s="248"/>
      <c r="M14" s="333"/>
      <c r="N14" s="248"/>
      <c r="O14" s="248"/>
    </row>
    <row r="15" spans="1:15" ht="13.5" thickTop="1" thickBot="1">
      <c r="A15" s="862"/>
      <c r="B15" s="179" t="s">
        <v>26</v>
      </c>
      <c r="C15" s="179" t="s">
        <v>27</v>
      </c>
      <c r="D15" s="352">
        <f t="shared" ref="D15:I15" si="4">SUM(D16:D18,D21)</f>
        <v>50770</v>
      </c>
      <c r="E15" s="359">
        <f t="shared" si="4"/>
        <v>0</v>
      </c>
      <c r="F15" s="359">
        <f t="shared" si="4"/>
        <v>49060</v>
      </c>
      <c r="G15" s="359">
        <f t="shared" si="4"/>
        <v>1700</v>
      </c>
      <c r="H15" s="359">
        <f t="shared" si="4"/>
        <v>0</v>
      </c>
      <c r="I15" s="359">
        <f t="shared" si="4"/>
        <v>10</v>
      </c>
      <c r="J15" s="244">
        <f t="shared" ref="J15:O15" si="5">SUM(J16:J18,J21)</f>
        <v>146723.49300000002</v>
      </c>
      <c r="K15" s="253">
        <f t="shared" si="5"/>
        <v>0</v>
      </c>
      <c r="L15" s="253">
        <f t="shared" si="5"/>
        <v>146481.83000000002</v>
      </c>
      <c r="M15" s="253">
        <f t="shared" si="5"/>
        <v>229.87800000000001</v>
      </c>
      <c r="N15" s="253">
        <f t="shared" si="5"/>
        <v>6.4589999999999996</v>
      </c>
      <c r="O15" s="253">
        <f t="shared" si="5"/>
        <v>5.3259999999999996</v>
      </c>
    </row>
    <row r="16" spans="1:15" ht="13.5" thickTop="1" thickBot="1">
      <c r="A16" s="862"/>
      <c r="B16" s="182" t="s">
        <v>28</v>
      </c>
      <c r="C16" s="182" t="s">
        <v>29</v>
      </c>
      <c r="D16" s="354">
        <f>SUM(E16:I16)</f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247">
        <f>SUM(K16:O16)</f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</row>
    <row r="17" spans="1:15" ht="13.5" thickTop="1" thickBot="1">
      <c r="A17" s="862"/>
      <c r="B17" s="182" t="s">
        <v>30</v>
      </c>
      <c r="C17" s="182" t="s">
        <v>31</v>
      </c>
      <c r="D17" s="354">
        <f>SUM(E17:I17)</f>
        <v>31180</v>
      </c>
      <c r="E17" s="356"/>
      <c r="F17" s="356">
        <v>31170</v>
      </c>
      <c r="G17" s="356">
        <v>0</v>
      </c>
      <c r="H17" s="356">
        <v>0</v>
      </c>
      <c r="I17" s="356">
        <v>10</v>
      </c>
      <c r="J17" s="247">
        <f>SUM(K17:O17)</f>
        <v>132267.57400000002</v>
      </c>
      <c r="K17" s="333"/>
      <c r="L17" s="333">
        <v>132255.22200000001</v>
      </c>
      <c r="M17" s="333">
        <v>0.56699999999999995</v>
      </c>
      <c r="N17" s="333">
        <v>6.4589999999999996</v>
      </c>
      <c r="O17" s="333">
        <v>5.3259999999999996</v>
      </c>
    </row>
    <row r="18" spans="1:15" ht="13.5" thickTop="1" thickBot="1">
      <c r="A18" s="862"/>
      <c r="B18" s="182" t="s">
        <v>32</v>
      </c>
      <c r="C18" s="182" t="s">
        <v>33</v>
      </c>
      <c r="D18" s="354">
        <f t="shared" ref="D18:I18" si="6">SUM(D19:D20)</f>
        <v>4510</v>
      </c>
      <c r="E18" s="355">
        <f t="shared" si="6"/>
        <v>0</v>
      </c>
      <c r="F18" s="355">
        <f t="shared" si="6"/>
        <v>4240</v>
      </c>
      <c r="G18" s="355">
        <f t="shared" si="6"/>
        <v>270</v>
      </c>
      <c r="H18" s="355">
        <f t="shared" si="6"/>
        <v>0</v>
      </c>
      <c r="I18" s="355">
        <f t="shared" si="6"/>
        <v>0</v>
      </c>
      <c r="J18" s="247">
        <f t="shared" ref="J18:O18" si="7">SUM(J19:J20)</f>
        <v>7578.93</v>
      </c>
      <c r="K18" s="248">
        <f t="shared" si="7"/>
        <v>0</v>
      </c>
      <c r="L18" s="248">
        <f t="shared" si="7"/>
        <v>7394.8230000000003</v>
      </c>
      <c r="M18" s="248">
        <f t="shared" si="7"/>
        <v>184.107</v>
      </c>
      <c r="N18" s="248">
        <f t="shared" si="7"/>
        <v>0</v>
      </c>
      <c r="O18" s="248">
        <f t="shared" si="7"/>
        <v>0</v>
      </c>
    </row>
    <row r="19" spans="1:15" ht="13.5" thickTop="1" thickBot="1">
      <c r="A19" s="862"/>
      <c r="B19" s="186" t="s">
        <v>34</v>
      </c>
      <c r="C19" s="187" t="s">
        <v>192</v>
      </c>
      <c r="D19" s="357">
        <f t="shared" ref="D19:D29" si="8">SUM(E19:I19)</f>
        <v>10</v>
      </c>
      <c r="E19" s="358"/>
      <c r="F19" s="360">
        <v>10</v>
      </c>
      <c r="G19" s="358"/>
      <c r="H19" s="358"/>
      <c r="I19" s="358"/>
      <c r="J19" s="251">
        <f t="shared" ref="J19:J29" si="9">SUM(K19:O19)</f>
        <v>5435.0190000000002</v>
      </c>
      <c r="K19" s="252"/>
      <c r="L19" s="289">
        <v>5435.0190000000002</v>
      </c>
      <c r="M19" s="252"/>
      <c r="N19" s="252"/>
      <c r="O19" s="252"/>
    </row>
    <row r="20" spans="1:15" ht="13.5" thickTop="1" thickBot="1">
      <c r="A20" s="862"/>
      <c r="B20" s="190" t="s">
        <v>35</v>
      </c>
      <c r="C20" s="187" t="s">
        <v>191</v>
      </c>
      <c r="D20" s="357">
        <f t="shared" si="8"/>
        <v>4500</v>
      </c>
      <c r="E20" s="358"/>
      <c r="F20" s="360">
        <v>4230</v>
      </c>
      <c r="G20" s="360">
        <v>270</v>
      </c>
      <c r="H20" s="358"/>
      <c r="I20" s="358"/>
      <c r="J20" s="251">
        <f t="shared" si="9"/>
        <v>2143.9110000000001</v>
      </c>
      <c r="K20" s="252"/>
      <c r="L20" s="289">
        <v>1959.8040000000001</v>
      </c>
      <c r="M20" s="289">
        <v>184.107</v>
      </c>
      <c r="N20" s="252"/>
      <c r="O20" s="252"/>
    </row>
    <row r="21" spans="1:15" ht="13.5" thickTop="1" thickBot="1">
      <c r="A21" s="862"/>
      <c r="B21" s="182" t="s">
        <v>36</v>
      </c>
      <c r="C21" s="182" t="s">
        <v>37</v>
      </c>
      <c r="D21" s="354">
        <f t="shared" si="8"/>
        <v>15080</v>
      </c>
      <c r="E21" s="355"/>
      <c r="F21" s="356">
        <v>13650</v>
      </c>
      <c r="G21" s="356">
        <v>1430</v>
      </c>
      <c r="H21" s="355"/>
      <c r="I21" s="355"/>
      <c r="J21" s="247">
        <f t="shared" si="9"/>
        <v>6876.9889999999996</v>
      </c>
      <c r="K21" s="248"/>
      <c r="L21" s="333">
        <v>6831.7849999999999</v>
      </c>
      <c r="M21" s="333">
        <v>45.204000000000001</v>
      </c>
      <c r="N21" s="248"/>
      <c r="O21" s="248"/>
    </row>
    <row r="22" spans="1:15" s="17" customFormat="1" ht="13.5" thickTop="1" thickBot="1">
      <c r="A22" s="862"/>
      <c r="B22" s="232" t="s">
        <v>38</v>
      </c>
      <c r="C22" s="232" t="s">
        <v>39</v>
      </c>
      <c r="D22" s="361">
        <f t="shared" si="8"/>
        <v>321160</v>
      </c>
      <c r="E22" s="361">
        <f>SUM(E23:E25,E28,E29)</f>
        <v>0</v>
      </c>
      <c r="F22" s="361">
        <f>SUM(F23:F25,F28,F29)</f>
        <v>261210</v>
      </c>
      <c r="G22" s="361">
        <f>SUM(G23:G25,G28,G29)</f>
        <v>32940</v>
      </c>
      <c r="H22" s="361">
        <f>SUM(H23:H25,H28,H29)</f>
        <v>27010</v>
      </c>
      <c r="I22" s="361">
        <f>SUM(I23:I25,I28,I29)</f>
        <v>0</v>
      </c>
      <c r="J22" s="256">
        <f t="shared" si="9"/>
        <v>293738.71100000001</v>
      </c>
      <c r="K22" s="256">
        <f>SUM(K23:K25,K28,K29)</f>
        <v>0</v>
      </c>
      <c r="L22" s="256">
        <f>SUM(L23:L25,L28,L29)</f>
        <v>230838.40999999997</v>
      </c>
      <c r="M22" s="256">
        <f>SUM(M23:M25,M28,M29)</f>
        <v>38205.592000000004</v>
      </c>
      <c r="N22" s="256">
        <f>SUM(N23:N25,N28,N29)</f>
        <v>24687.95</v>
      </c>
      <c r="O22" s="256">
        <f>SUM(O23:O25,O28,O29)</f>
        <v>6.7590000000000012</v>
      </c>
    </row>
    <row r="23" spans="1:15" ht="13.5" thickTop="1" thickBot="1">
      <c r="A23" s="862"/>
      <c r="B23" s="182" t="s">
        <v>40</v>
      </c>
      <c r="C23" s="182" t="s">
        <v>41</v>
      </c>
      <c r="D23" s="354">
        <f t="shared" si="8"/>
        <v>0</v>
      </c>
      <c r="E23" s="354">
        <f t="shared" ref="E23:I28" si="10">E7-E16</f>
        <v>0</v>
      </c>
      <c r="F23" s="354">
        <f t="shared" si="10"/>
        <v>0</v>
      </c>
      <c r="G23" s="354">
        <f t="shared" si="10"/>
        <v>0</v>
      </c>
      <c r="H23" s="354">
        <f t="shared" si="10"/>
        <v>0</v>
      </c>
      <c r="I23" s="354">
        <f t="shared" si="10"/>
        <v>0</v>
      </c>
      <c r="J23" s="247">
        <f t="shared" si="9"/>
        <v>0</v>
      </c>
      <c r="K23" s="247">
        <f t="shared" ref="K23:O28" si="11">K7-K16</f>
        <v>0</v>
      </c>
      <c r="L23" s="247">
        <f t="shared" si="11"/>
        <v>0</v>
      </c>
      <c r="M23" s="247">
        <f t="shared" si="11"/>
        <v>0</v>
      </c>
      <c r="N23" s="247">
        <f t="shared" si="11"/>
        <v>0</v>
      </c>
      <c r="O23" s="247">
        <f t="shared" si="11"/>
        <v>0</v>
      </c>
    </row>
    <row r="24" spans="1:15" ht="13.5" thickTop="1" thickBot="1">
      <c r="A24" s="862"/>
      <c r="B24" s="182" t="s">
        <v>42</v>
      </c>
      <c r="C24" s="182" t="s">
        <v>43</v>
      </c>
      <c r="D24" s="354">
        <f t="shared" si="8"/>
        <v>153910</v>
      </c>
      <c r="E24" s="354">
        <f t="shared" si="10"/>
        <v>0</v>
      </c>
      <c r="F24" s="354">
        <f t="shared" si="10"/>
        <v>118870</v>
      </c>
      <c r="G24" s="354">
        <f t="shared" si="10"/>
        <v>11980</v>
      </c>
      <c r="H24" s="354">
        <f t="shared" si="10"/>
        <v>23060</v>
      </c>
      <c r="I24" s="354">
        <f t="shared" si="10"/>
        <v>0</v>
      </c>
      <c r="J24" s="247">
        <f t="shared" si="9"/>
        <v>44692.820999999989</v>
      </c>
      <c r="K24" s="247">
        <f t="shared" si="11"/>
        <v>0</v>
      </c>
      <c r="L24" s="247">
        <f t="shared" si="11"/>
        <v>11655.978999999992</v>
      </c>
      <c r="M24" s="247">
        <f t="shared" si="11"/>
        <v>11350.413</v>
      </c>
      <c r="N24" s="247">
        <f t="shared" si="11"/>
        <v>21679.670000000002</v>
      </c>
      <c r="O24" s="247">
        <f t="shared" si="11"/>
        <v>6.7590000000000012</v>
      </c>
    </row>
    <row r="25" spans="1:15" ht="13.5" thickTop="1" thickBot="1">
      <c r="A25" s="862"/>
      <c r="B25" s="182" t="s">
        <v>44</v>
      </c>
      <c r="C25" s="182" t="s">
        <v>45</v>
      </c>
      <c r="D25" s="354">
        <f t="shared" si="8"/>
        <v>12300</v>
      </c>
      <c r="E25" s="354">
        <f t="shared" si="10"/>
        <v>0</v>
      </c>
      <c r="F25" s="354">
        <f t="shared" si="10"/>
        <v>12570</v>
      </c>
      <c r="G25" s="354">
        <f t="shared" si="10"/>
        <v>-270</v>
      </c>
      <c r="H25" s="354">
        <f t="shared" si="10"/>
        <v>0</v>
      </c>
      <c r="I25" s="354">
        <f t="shared" si="10"/>
        <v>0</v>
      </c>
      <c r="J25" s="247">
        <f t="shared" si="9"/>
        <v>-5318.7280000000001</v>
      </c>
      <c r="K25" s="247">
        <f t="shared" si="11"/>
        <v>0</v>
      </c>
      <c r="L25" s="247">
        <f t="shared" si="11"/>
        <v>-5134.6210000000001</v>
      </c>
      <c r="M25" s="247">
        <f t="shared" si="11"/>
        <v>-184.107</v>
      </c>
      <c r="N25" s="247">
        <f t="shared" si="11"/>
        <v>0</v>
      </c>
      <c r="O25" s="247">
        <f t="shared" si="11"/>
        <v>0</v>
      </c>
    </row>
    <row r="26" spans="1:15" ht="13.5" thickTop="1" thickBot="1">
      <c r="A26" s="862"/>
      <c r="B26" s="186" t="s">
        <v>46</v>
      </c>
      <c r="C26" s="187" t="s">
        <v>192</v>
      </c>
      <c r="D26" s="354">
        <f t="shared" si="8"/>
        <v>13500</v>
      </c>
      <c r="E26" s="357">
        <f t="shared" si="10"/>
        <v>0</v>
      </c>
      <c r="F26" s="357">
        <f t="shared" si="10"/>
        <v>13500</v>
      </c>
      <c r="G26" s="357">
        <f t="shared" si="10"/>
        <v>0</v>
      </c>
      <c r="H26" s="357">
        <f t="shared" si="10"/>
        <v>0</v>
      </c>
      <c r="I26" s="357">
        <f t="shared" si="10"/>
        <v>0</v>
      </c>
      <c r="J26" s="247">
        <f t="shared" si="9"/>
        <v>-4052.0889999999999</v>
      </c>
      <c r="K26" s="251">
        <f t="shared" si="11"/>
        <v>0</v>
      </c>
      <c r="L26" s="251">
        <f t="shared" si="11"/>
        <v>-4052.0889999999999</v>
      </c>
      <c r="M26" s="251">
        <f t="shared" si="11"/>
        <v>0</v>
      </c>
      <c r="N26" s="251">
        <f t="shared" si="11"/>
        <v>0</v>
      </c>
      <c r="O26" s="251">
        <f t="shared" si="11"/>
        <v>0</v>
      </c>
    </row>
    <row r="27" spans="1:15" ht="13.5" thickTop="1" thickBot="1">
      <c r="A27" s="862"/>
      <c r="B27" s="186" t="s">
        <v>47</v>
      </c>
      <c r="C27" s="187" t="s">
        <v>191</v>
      </c>
      <c r="D27" s="354">
        <f t="shared" si="8"/>
        <v>-1200</v>
      </c>
      <c r="E27" s="357">
        <f t="shared" si="10"/>
        <v>0</v>
      </c>
      <c r="F27" s="357">
        <f t="shared" si="10"/>
        <v>-930</v>
      </c>
      <c r="G27" s="357">
        <f t="shared" si="10"/>
        <v>-270</v>
      </c>
      <c r="H27" s="357">
        <f t="shared" si="10"/>
        <v>0</v>
      </c>
      <c r="I27" s="357">
        <f t="shared" si="10"/>
        <v>0</v>
      </c>
      <c r="J27" s="247">
        <f t="shared" si="9"/>
        <v>-1266.6390000000001</v>
      </c>
      <c r="K27" s="251">
        <f t="shared" si="11"/>
        <v>0</v>
      </c>
      <c r="L27" s="251">
        <f t="shared" si="11"/>
        <v>-1082.5320000000002</v>
      </c>
      <c r="M27" s="251">
        <f t="shared" si="11"/>
        <v>-184.107</v>
      </c>
      <c r="N27" s="251">
        <f t="shared" si="11"/>
        <v>0</v>
      </c>
      <c r="O27" s="251">
        <f t="shared" si="11"/>
        <v>0</v>
      </c>
    </row>
    <row r="28" spans="1:15" ht="13.5" thickTop="1" thickBot="1">
      <c r="A28" s="862"/>
      <c r="B28" s="182" t="s">
        <v>48</v>
      </c>
      <c r="C28" s="182" t="s">
        <v>49</v>
      </c>
      <c r="D28" s="354">
        <f t="shared" si="8"/>
        <v>154950</v>
      </c>
      <c r="E28" s="354">
        <f t="shared" si="10"/>
        <v>0</v>
      </c>
      <c r="F28" s="354">
        <f t="shared" si="10"/>
        <v>129770</v>
      </c>
      <c r="G28" s="354">
        <f t="shared" si="10"/>
        <v>21230</v>
      </c>
      <c r="H28" s="354">
        <f t="shared" si="10"/>
        <v>3950</v>
      </c>
      <c r="I28" s="354">
        <f t="shared" si="10"/>
        <v>0</v>
      </c>
      <c r="J28" s="247">
        <f t="shared" si="9"/>
        <v>254364.61799999999</v>
      </c>
      <c r="K28" s="247">
        <f t="shared" si="11"/>
        <v>0</v>
      </c>
      <c r="L28" s="247">
        <f t="shared" si="11"/>
        <v>224317.052</v>
      </c>
      <c r="M28" s="247">
        <f t="shared" si="11"/>
        <v>27039.286</v>
      </c>
      <c r="N28" s="247">
        <f t="shared" si="11"/>
        <v>3008.28</v>
      </c>
      <c r="O28" s="247">
        <f t="shared" si="11"/>
        <v>0</v>
      </c>
    </row>
    <row r="29" spans="1:15" ht="13.5" thickTop="1" thickBot="1">
      <c r="A29" s="862"/>
      <c r="B29" s="182" t="s">
        <v>50</v>
      </c>
      <c r="C29" s="182" t="s">
        <v>25</v>
      </c>
      <c r="D29" s="354">
        <f t="shared" si="8"/>
        <v>0</v>
      </c>
      <c r="E29" s="354">
        <f>E14</f>
        <v>0</v>
      </c>
      <c r="F29" s="354">
        <f>F14</f>
        <v>0</v>
      </c>
      <c r="G29" s="354">
        <f>G14</f>
        <v>0</v>
      </c>
      <c r="H29" s="354">
        <f>H14</f>
        <v>0</v>
      </c>
      <c r="I29" s="354">
        <f>I14</f>
        <v>0</v>
      </c>
      <c r="J29" s="247">
        <f t="shared" si="9"/>
        <v>0</v>
      </c>
      <c r="K29" s="247">
        <f>K14</f>
        <v>0</v>
      </c>
      <c r="L29" s="247">
        <f>L14</f>
        <v>0</v>
      </c>
      <c r="M29" s="247">
        <f>M14</f>
        <v>0</v>
      </c>
      <c r="N29" s="247">
        <f>N14</f>
        <v>0</v>
      </c>
      <c r="O29" s="247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362">
        <f>SUM(F30:I30)</f>
        <v>407222</v>
      </c>
      <c r="E30" s="362"/>
      <c r="F30" s="362">
        <f>SUM(F31:F33)</f>
        <v>0</v>
      </c>
      <c r="G30" s="362">
        <f>SUM(G31:G33)</f>
        <v>55332</v>
      </c>
      <c r="H30" s="362">
        <f>SUM(H31:H33)</f>
        <v>211940</v>
      </c>
      <c r="I30" s="362">
        <f>SUM(I31:I33)</f>
        <v>139950</v>
      </c>
      <c r="J30" s="258">
        <f>SUM(L30:O30)</f>
        <v>343655.76542999991</v>
      </c>
      <c r="K30" s="258"/>
      <c r="L30" s="258">
        <f>SUM(L31:L33)</f>
        <v>0</v>
      </c>
      <c r="M30" s="258">
        <f>SUM(M31:M33)</f>
        <v>30792.397904999991</v>
      </c>
      <c r="N30" s="258">
        <f>SUM(N31:N33)</f>
        <v>189309.57452499995</v>
      </c>
      <c r="O30" s="258">
        <f>SUM(O31:O33)</f>
        <v>123553.79299999995</v>
      </c>
    </row>
    <row r="31" spans="1:15" ht="13.5" thickTop="1" thickBot="1">
      <c r="A31" s="862"/>
      <c r="B31" s="182" t="s">
        <v>54</v>
      </c>
      <c r="C31" s="182" t="s">
        <v>55</v>
      </c>
      <c r="D31" s="354">
        <f t="shared" ref="D31:D43" si="12">SUM(E31:I31)</f>
        <v>184440</v>
      </c>
      <c r="E31" s="363"/>
      <c r="F31" s="364"/>
      <c r="G31" s="354">
        <f>F36</f>
        <v>55332</v>
      </c>
      <c r="H31" s="354">
        <f>F37</f>
        <v>129107.99999999999</v>
      </c>
      <c r="I31" s="363"/>
      <c r="J31" s="247">
        <f t="shared" ref="J31:J43" si="13">SUM(K31:O31)</f>
        <v>153961.98952499995</v>
      </c>
      <c r="K31" s="259"/>
      <c r="L31" s="260"/>
      <c r="M31" s="247">
        <f>L36</f>
        <v>30792.397904999991</v>
      </c>
      <c r="N31" s="247">
        <f>L37</f>
        <v>123169.59161999996</v>
      </c>
      <c r="O31" s="259"/>
    </row>
    <row r="32" spans="1:15" ht="13.5" thickTop="1" thickBot="1">
      <c r="A32" s="862"/>
      <c r="B32" s="182" t="s">
        <v>56</v>
      </c>
      <c r="C32" s="182" t="s">
        <v>57</v>
      </c>
      <c r="D32" s="354">
        <f t="shared" si="12"/>
        <v>82832</v>
      </c>
      <c r="E32" s="363"/>
      <c r="F32" s="363"/>
      <c r="G32" s="363"/>
      <c r="H32" s="354">
        <f>G37</f>
        <v>82832</v>
      </c>
      <c r="I32" s="364">
        <f>G43</f>
        <v>0</v>
      </c>
      <c r="J32" s="247">
        <f t="shared" si="13"/>
        <v>66139.982904999997</v>
      </c>
      <c r="K32" s="259"/>
      <c r="L32" s="259"/>
      <c r="M32" s="259"/>
      <c r="N32" s="247">
        <f>M37</f>
        <v>66139.982904999997</v>
      </c>
      <c r="O32" s="260">
        <f>M43</f>
        <v>0</v>
      </c>
    </row>
    <row r="33" spans="1:19" ht="13.5" thickTop="1" thickBot="1">
      <c r="A33" s="862"/>
      <c r="B33" s="182" t="s">
        <v>58</v>
      </c>
      <c r="C33" s="182" t="s">
        <v>59</v>
      </c>
      <c r="D33" s="354">
        <f t="shared" si="12"/>
        <v>139950</v>
      </c>
      <c r="E33" s="363"/>
      <c r="F33" s="363"/>
      <c r="G33" s="363"/>
      <c r="H33" s="363"/>
      <c r="I33" s="354">
        <f>G38+H38</f>
        <v>139950</v>
      </c>
      <c r="J33" s="247">
        <f t="shared" si="13"/>
        <v>123553.79299999995</v>
      </c>
      <c r="K33" s="259"/>
      <c r="L33" s="259"/>
      <c r="M33" s="259"/>
      <c r="N33" s="259"/>
      <c r="O33" s="247">
        <f>M38+N38</f>
        <v>123553.79299999995</v>
      </c>
    </row>
    <row r="34" spans="1:19" ht="13.5" thickTop="1" thickBot="1">
      <c r="A34" s="862"/>
      <c r="B34" s="179" t="s">
        <v>60</v>
      </c>
      <c r="C34" s="179" t="s">
        <v>61</v>
      </c>
      <c r="D34" s="362">
        <f t="shared" si="12"/>
        <v>407222</v>
      </c>
      <c r="E34" s="362"/>
      <c r="F34" s="362">
        <f>SUM(F35:F38)</f>
        <v>184440</v>
      </c>
      <c r="G34" s="362">
        <f>SUM(G35:G38)</f>
        <v>82832</v>
      </c>
      <c r="H34" s="362">
        <f>SUM(H35:H38)</f>
        <v>139950</v>
      </c>
      <c r="I34" s="285">
        <f>SUM(I35:I38)</f>
        <v>0</v>
      </c>
      <c r="J34" s="258">
        <f t="shared" si="13"/>
        <v>343655.76542999991</v>
      </c>
      <c r="K34" s="258"/>
      <c r="L34" s="258">
        <f>SUM(L35:L38)</f>
        <v>153961.98952499995</v>
      </c>
      <c r="M34" s="258">
        <f>SUM(M35:M38)</f>
        <v>66139.982904999997</v>
      </c>
      <c r="N34" s="258">
        <f>SUM(N35:N38)</f>
        <v>123553.79299999995</v>
      </c>
      <c r="O34" s="261">
        <f>SUM(O35:O38)</f>
        <v>0</v>
      </c>
    </row>
    <row r="35" spans="1:19" ht="13.5" thickTop="1" thickBot="1">
      <c r="A35" s="862"/>
      <c r="B35" s="182" t="s">
        <v>62</v>
      </c>
      <c r="C35" s="182" t="s">
        <v>63</v>
      </c>
      <c r="D35" s="354">
        <f t="shared" si="12"/>
        <v>0</v>
      </c>
      <c r="E35" s="364"/>
      <c r="F35" s="363"/>
      <c r="G35" s="363"/>
      <c r="H35" s="363"/>
      <c r="I35" s="363"/>
      <c r="J35" s="247">
        <f t="shared" si="13"/>
        <v>0</v>
      </c>
      <c r="K35" s="260"/>
      <c r="L35" s="259"/>
      <c r="M35" s="259"/>
      <c r="N35" s="259"/>
      <c r="O35" s="259"/>
    </row>
    <row r="36" spans="1:19" ht="13.5" thickTop="1" thickBot="1">
      <c r="A36" s="862"/>
      <c r="B36" s="182" t="s">
        <v>64</v>
      </c>
      <c r="C36" s="182" t="s">
        <v>65</v>
      </c>
      <c r="D36" s="354">
        <f t="shared" si="12"/>
        <v>55332</v>
      </c>
      <c r="E36" s="354"/>
      <c r="F36" s="333">
        <v>55332</v>
      </c>
      <c r="G36" s="259"/>
      <c r="H36" s="259"/>
      <c r="I36" s="363"/>
      <c r="J36" s="247">
        <f t="shared" si="13"/>
        <v>30792.397904999991</v>
      </c>
      <c r="K36" s="247"/>
      <c r="L36" s="333">
        <v>30792.397904999991</v>
      </c>
      <c r="M36" s="259"/>
      <c r="N36" s="259"/>
      <c r="O36" s="259"/>
    </row>
    <row r="37" spans="1:19" ht="13.5" thickTop="1" thickBot="1">
      <c r="A37" s="862"/>
      <c r="B37" s="182" t="s">
        <v>66</v>
      </c>
      <c r="C37" s="182" t="s">
        <v>67</v>
      </c>
      <c r="D37" s="354">
        <f t="shared" si="12"/>
        <v>211940</v>
      </c>
      <c r="E37" s="354"/>
      <c r="F37" s="333">
        <v>129107.99999999999</v>
      </c>
      <c r="G37" s="333">
        <v>82832</v>
      </c>
      <c r="H37" s="259"/>
      <c r="I37" s="363"/>
      <c r="J37" s="247">
        <f t="shared" si="13"/>
        <v>189309.57452499995</v>
      </c>
      <c r="K37" s="247"/>
      <c r="L37" s="333">
        <v>123169.59161999996</v>
      </c>
      <c r="M37" s="356">
        <v>66139.982904999997</v>
      </c>
      <c r="N37" s="259"/>
      <c r="O37" s="259"/>
    </row>
    <row r="38" spans="1:19" ht="13.5" thickTop="1" thickBot="1">
      <c r="A38" s="862"/>
      <c r="B38" s="182" t="s">
        <v>68</v>
      </c>
      <c r="C38" s="182" t="s">
        <v>69</v>
      </c>
      <c r="D38" s="354">
        <f t="shared" si="12"/>
        <v>139950</v>
      </c>
      <c r="E38" s="363"/>
      <c r="F38" s="259"/>
      <c r="G38" s="260"/>
      <c r="H38" s="333">
        <v>139950</v>
      </c>
      <c r="I38" s="363"/>
      <c r="J38" s="247">
        <f t="shared" si="13"/>
        <v>123553.79299999995</v>
      </c>
      <c r="K38" s="259"/>
      <c r="L38" s="259"/>
      <c r="M38" s="260"/>
      <c r="N38" s="333">
        <v>123553.79299999995</v>
      </c>
      <c r="O38" s="259"/>
    </row>
    <row r="39" spans="1:19" s="17" customFormat="1" ht="13.5" thickTop="1" thickBot="1">
      <c r="A39" s="862"/>
      <c r="B39" s="232" t="s">
        <v>70</v>
      </c>
      <c r="C39" s="232" t="s">
        <v>71</v>
      </c>
      <c r="D39" s="365">
        <f t="shared" si="12"/>
        <v>0</v>
      </c>
      <c r="E39" s="365"/>
      <c r="F39" s="365">
        <f>SUM(F40:F43)</f>
        <v>-184440</v>
      </c>
      <c r="G39" s="365">
        <f>SUM(G40:G43)</f>
        <v>-27500</v>
      </c>
      <c r="H39" s="365">
        <f>SUM(H40:H43)</f>
        <v>71990</v>
      </c>
      <c r="I39" s="365">
        <f>SUM(I40:I43)</f>
        <v>139950</v>
      </c>
      <c r="J39" s="262">
        <f t="shared" si="13"/>
        <v>0</v>
      </c>
      <c r="K39" s="262"/>
      <c r="L39" s="262">
        <f>SUM(L40:L43)</f>
        <v>-153961.98952499995</v>
      </c>
      <c r="M39" s="262">
        <f>SUM(M40:M43)</f>
        <v>-35347.585000000006</v>
      </c>
      <c r="N39" s="262">
        <f>SUM(N40:N43)</f>
        <v>65755.781524999999</v>
      </c>
      <c r="O39" s="262">
        <f>SUM(O40:O43)</f>
        <v>123553.79299999995</v>
      </c>
    </row>
    <row r="40" spans="1:19" ht="13.5" thickTop="1" thickBot="1">
      <c r="A40" s="862"/>
      <c r="B40" s="182" t="s">
        <v>72</v>
      </c>
      <c r="C40" s="182" t="s">
        <v>5</v>
      </c>
      <c r="D40" s="366">
        <f t="shared" si="12"/>
        <v>184440</v>
      </c>
      <c r="E40" s="367"/>
      <c r="F40" s="367">
        <f>F31-F35</f>
        <v>0</v>
      </c>
      <c r="G40" s="367">
        <f>G31-G35</f>
        <v>55332</v>
      </c>
      <c r="H40" s="367">
        <f>H31-H35</f>
        <v>129107.99999999999</v>
      </c>
      <c r="I40" s="368"/>
      <c r="J40" s="264">
        <f t="shared" si="13"/>
        <v>153961.98952499995</v>
      </c>
      <c r="K40" s="265"/>
      <c r="L40" s="265">
        <f>L31-L35</f>
        <v>0</v>
      </c>
      <c r="M40" s="265">
        <f>M31-M35</f>
        <v>30792.397904999991</v>
      </c>
      <c r="N40" s="265">
        <f>N31-N35</f>
        <v>123169.59161999996</v>
      </c>
      <c r="O40" s="266"/>
    </row>
    <row r="41" spans="1:19" ht="13.5" thickTop="1" thickBot="1">
      <c r="A41" s="862"/>
      <c r="B41" s="182" t="s">
        <v>73</v>
      </c>
      <c r="C41" s="182" t="s">
        <v>74</v>
      </c>
      <c r="D41" s="366">
        <f t="shared" si="12"/>
        <v>27500</v>
      </c>
      <c r="E41" s="367">
        <f>E32-E36</f>
        <v>0</v>
      </c>
      <c r="F41" s="367">
        <f>F32-F36</f>
        <v>-55332</v>
      </c>
      <c r="G41" s="368"/>
      <c r="H41" s="367">
        <f>H32-H36</f>
        <v>82832</v>
      </c>
      <c r="I41" s="368"/>
      <c r="J41" s="264">
        <f t="shared" si="13"/>
        <v>35347.585000000006</v>
      </c>
      <c r="K41" s="265">
        <f>K32-K36</f>
        <v>0</v>
      </c>
      <c r="L41" s="265">
        <f>L32-L36</f>
        <v>-30792.397904999991</v>
      </c>
      <c r="M41" s="266"/>
      <c r="N41" s="265">
        <f>N32-N36</f>
        <v>66139.982904999997</v>
      </c>
      <c r="O41" s="266"/>
    </row>
    <row r="42" spans="1:19" ht="13.5" thickTop="1" thickBot="1">
      <c r="A42" s="862"/>
      <c r="B42" s="182" t="s">
        <v>75</v>
      </c>
      <c r="C42" s="182" t="s">
        <v>76</v>
      </c>
      <c r="D42" s="366">
        <f t="shared" si="12"/>
        <v>-71990</v>
      </c>
      <c r="E42" s="367">
        <f>E33-E37</f>
        <v>0</v>
      </c>
      <c r="F42" s="367">
        <f>F33-F37</f>
        <v>-129107.99999999999</v>
      </c>
      <c r="G42" s="367">
        <f>G33-G37</f>
        <v>-82832</v>
      </c>
      <c r="H42" s="368"/>
      <c r="I42" s="367">
        <f>I33-I37</f>
        <v>139950</v>
      </c>
      <c r="J42" s="264">
        <f t="shared" si="13"/>
        <v>-65755.781524999999</v>
      </c>
      <c r="K42" s="265">
        <f>K33-K37</f>
        <v>0</v>
      </c>
      <c r="L42" s="265">
        <f>L33-L37</f>
        <v>-123169.59161999996</v>
      </c>
      <c r="M42" s="265">
        <f>M33-M37</f>
        <v>-66139.982904999997</v>
      </c>
      <c r="N42" s="266"/>
      <c r="O42" s="265">
        <f>O33-O37</f>
        <v>123553.79299999995</v>
      </c>
    </row>
    <row r="43" spans="1:19" ht="13.5" thickTop="1" thickBot="1">
      <c r="A43" s="862"/>
      <c r="B43" s="199" t="s">
        <v>77</v>
      </c>
      <c r="C43" s="199" t="s">
        <v>8</v>
      </c>
      <c r="D43" s="367">
        <f t="shared" si="12"/>
        <v>-139950</v>
      </c>
      <c r="E43" s="368"/>
      <c r="F43" s="368"/>
      <c r="G43" s="367"/>
      <c r="H43" s="367">
        <f>-H38</f>
        <v>-139950</v>
      </c>
      <c r="I43" s="368"/>
      <c r="J43" s="265">
        <f t="shared" si="13"/>
        <v>-123553.79299999995</v>
      </c>
      <c r="K43" s="266"/>
      <c r="L43" s="266"/>
      <c r="M43" s="265"/>
      <c r="N43" s="265">
        <f>-N38</f>
        <v>-123553.79299999995</v>
      </c>
      <c r="O43" s="266"/>
    </row>
    <row r="44" spans="1:19" ht="13.5" thickTop="1" thickBot="1">
      <c r="A44" s="177"/>
      <c r="B44" s="200" t="s">
        <v>78</v>
      </c>
      <c r="C44" s="200" t="s">
        <v>79</v>
      </c>
      <c r="D44" s="201">
        <f>D22</f>
        <v>321160</v>
      </c>
      <c r="E44" s="201">
        <f>E22+E30</f>
        <v>0</v>
      </c>
      <c r="F44" s="201">
        <f>F22+F30</f>
        <v>261210</v>
      </c>
      <c r="G44" s="201">
        <f>G22+G30</f>
        <v>88272</v>
      </c>
      <c r="H44" s="201">
        <f>H22+H30</f>
        <v>238950</v>
      </c>
      <c r="I44" s="201">
        <f>I22+I30</f>
        <v>139950</v>
      </c>
      <c r="J44" s="201">
        <f>J22</f>
        <v>293738.71100000001</v>
      </c>
      <c r="K44" s="201">
        <f>K22+K30</f>
        <v>0</v>
      </c>
      <c r="L44" s="201">
        <f>L22+L30</f>
        <v>230838.40999999997</v>
      </c>
      <c r="M44" s="201">
        <f>M22+M30</f>
        <v>68997.989904999995</v>
      </c>
      <c r="N44" s="201">
        <f>N22+N30</f>
        <v>213997.52452499996</v>
      </c>
      <c r="O44" s="201">
        <f>O22+O30</f>
        <v>123560.55199999995</v>
      </c>
    </row>
    <row r="45" spans="1:19" ht="13.5" thickTop="1" thickBot="1">
      <c r="A45" s="177"/>
      <c r="B45" s="202" t="s">
        <v>80</v>
      </c>
      <c r="C45" s="202" t="s">
        <v>81</v>
      </c>
      <c r="D45" s="203">
        <f>D44</f>
        <v>321160</v>
      </c>
      <c r="E45" s="203">
        <f>E143+E151+E34</f>
        <v>0</v>
      </c>
      <c r="F45" s="203">
        <f>F143+F151+F34-G49-H49-G73-H73-G78-H78-H54-H97-H109-G97-G102-H102-G109-G114-H114-G121-H121-G126-H126-G133-H133</f>
        <v>261210</v>
      </c>
      <c r="G45" s="203">
        <f>G143+G151+G34-H50-I50-H55-I55-H62-I62-H67-I67-H98-H74-H79-H86-H91-H103-H110-H115-H122-H127-H134</f>
        <v>86236</v>
      </c>
      <c r="H45" s="203">
        <f>H143+H151+H34-I51-I56-I63-I68-I75-I80-I87-I92-I99-I104-I111-I116-I123-I128</f>
        <v>216703.7</v>
      </c>
      <c r="I45" s="203">
        <f>I151+I143</f>
        <v>139240.20000000001</v>
      </c>
      <c r="J45" s="203">
        <f>J44</f>
        <v>293738.71100000001</v>
      </c>
      <c r="K45" s="203">
        <f>K143+K151+K34</f>
        <v>0</v>
      </c>
      <c r="L45" s="203">
        <f>L143+L151+L34-M49-N49-M73-N73-M78-N78-N54-N97-N109-M97-M102-N102-M109-M114-N114-M121-N121-M126-N126-M133-N133</f>
        <v>230838.41</v>
      </c>
      <c r="M45" s="203">
        <f>M143+M151+M34-N50-O50-N55-O55-N62-O62-N67-O67-N98-N74-N79-N86-N91-N103-N110-N115-N122-N127-N134</f>
        <v>68948.269904999994</v>
      </c>
      <c r="N45" s="203">
        <f>N143+N151+N34-O51-O56-O63-O68-O75-O80-O87-O92-O99-O104-O111-O116-O123-O128</f>
        <v>191937.88852499996</v>
      </c>
      <c r="O45" s="203">
        <f>O151+O143</f>
        <v>122624.91999999994</v>
      </c>
    </row>
    <row r="46" spans="1:19" ht="13.5" thickTop="1" thickBot="1">
      <c r="A46" s="862" t="s">
        <v>82</v>
      </c>
      <c r="B46" s="179" t="s">
        <v>83</v>
      </c>
      <c r="C46" s="179" t="s">
        <v>84</v>
      </c>
      <c r="D46" s="181">
        <f>SUM(E46:I46)</f>
        <v>287410</v>
      </c>
      <c r="E46" s="322">
        <f>E47+E59+E71+E83+E95</f>
        <v>0</v>
      </c>
      <c r="F46" s="322">
        <f>F47+F59+F71+F83+F95+F107+F119+F131</f>
        <v>70970</v>
      </c>
      <c r="G46" s="322">
        <f>G47+G59+G71+G83+G95+G107+G119+G131</f>
        <v>2640</v>
      </c>
      <c r="H46" s="322">
        <f>H47+H59+H71+H83+H95+H107+H119+H131</f>
        <v>88200</v>
      </c>
      <c r="I46" s="322">
        <f>I47+I59+I71+I83+I95+I107+I119+I131</f>
        <v>125600</v>
      </c>
      <c r="J46" s="181">
        <f>SUM(K46:O46)</f>
        <v>248378.008</v>
      </c>
      <c r="K46" s="322">
        <f>K47+K59+K71+K83+K95</f>
        <v>0</v>
      </c>
      <c r="L46" s="322">
        <f>L47+L59+L71+L83+L95+L107+L119+L131</f>
        <v>71932.797999999995</v>
      </c>
      <c r="M46" s="322">
        <f>M47+M59+M71+M83+M95+M107+M119+M131</f>
        <v>660.84100000000001</v>
      </c>
      <c r="N46" s="322">
        <f>N47+N59+N71+N83+N95+N107+N119+N131</f>
        <v>80556.486999999994</v>
      </c>
      <c r="O46" s="322">
        <f>O47+O59+O71+O83+O95+O107+O119+O131</f>
        <v>95227.882000000012</v>
      </c>
    </row>
    <row r="47" spans="1:19" s="3" customFormat="1" ht="13.5" thickTop="1" thickBot="1">
      <c r="A47" s="862"/>
      <c r="B47" s="270" t="s">
        <v>85</v>
      </c>
      <c r="C47" s="271" t="s">
        <v>86</v>
      </c>
      <c r="D47" s="369">
        <f t="shared" ref="D47:D94" si="14">SUM(E47:I47)</f>
        <v>208760</v>
      </c>
      <c r="E47" s="370"/>
      <c r="F47" s="478">
        <f>16150-H49-H54</f>
        <v>1500</v>
      </c>
      <c r="G47" s="478">
        <f>2640-H50</f>
        <v>740</v>
      </c>
      <c r="H47" s="479">
        <f>65180+H49+H50+H54</f>
        <v>81730</v>
      </c>
      <c r="I47" s="478">
        <v>124790</v>
      </c>
      <c r="J47" s="272">
        <f t="shared" ref="J47:J94" si="15">SUM(K47:O47)</f>
        <v>170056.23300000001</v>
      </c>
      <c r="K47" s="273"/>
      <c r="L47" s="273">
        <f>20214.188-N49-N54</f>
        <v>2020.3579999999984</v>
      </c>
      <c r="M47" s="273">
        <f>799.564-N50</f>
        <v>611.12099999999998</v>
      </c>
      <c r="N47" s="273">
        <f>237.801+54586.921+N49+N50+N54</f>
        <v>73206.994999999995</v>
      </c>
      <c r="O47" s="273">
        <f>797.14+93420.619</f>
        <v>94217.759000000005</v>
      </c>
      <c r="R47" s="720"/>
    </row>
    <row r="48" spans="1:19" ht="13.5" thickTop="1" thickBot="1">
      <c r="A48" s="862"/>
      <c r="B48" s="263" t="s">
        <v>87</v>
      </c>
      <c r="C48" s="263" t="s">
        <v>88</v>
      </c>
      <c r="D48" s="367">
        <f t="shared" si="14"/>
        <v>0</v>
      </c>
      <c r="E48" s="367"/>
      <c r="F48" s="367"/>
      <c r="G48" s="367"/>
      <c r="H48" s="367"/>
      <c r="I48" s="367"/>
      <c r="J48" s="265">
        <f t="shared" si="15"/>
        <v>0</v>
      </c>
      <c r="K48" s="265"/>
      <c r="L48" s="265"/>
      <c r="M48" s="265"/>
      <c r="N48" s="265"/>
      <c r="O48" s="265"/>
      <c r="S48" s="318"/>
    </row>
    <row r="49" spans="1:16" ht="13.5" thickTop="1" thickBot="1">
      <c r="A49" s="862"/>
      <c r="B49" s="275"/>
      <c r="C49" s="276" t="s">
        <v>89</v>
      </c>
      <c r="D49" s="371">
        <f t="shared" si="14"/>
        <v>13700</v>
      </c>
      <c r="E49" s="372"/>
      <c r="F49" s="372"/>
      <c r="G49" s="371"/>
      <c r="H49" s="373">
        <v>13700</v>
      </c>
      <c r="I49" s="372"/>
      <c r="J49" s="277">
        <f t="shared" si="15"/>
        <v>12276.384</v>
      </c>
      <c r="K49" s="278"/>
      <c r="L49" s="278"/>
      <c r="M49" s="277"/>
      <c r="N49" s="277">
        <v>12276.384</v>
      </c>
      <c r="O49" s="278"/>
    </row>
    <row r="50" spans="1:16" ht="13.5" thickTop="1" thickBot="1">
      <c r="A50" s="862"/>
      <c r="B50" s="275"/>
      <c r="C50" s="276" t="s">
        <v>90</v>
      </c>
      <c r="D50" s="371">
        <f t="shared" si="14"/>
        <v>1900</v>
      </c>
      <c r="E50" s="372"/>
      <c r="F50" s="372"/>
      <c r="G50" s="372"/>
      <c r="H50" s="371">
        <v>1900</v>
      </c>
      <c r="I50" s="371"/>
      <c r="J50" s="277">
        <f t="shared" si="15"/>
        <v>188.44300000000001</v>
      </c>
      <c r="K50" s="278"/>
      <c r="L50" s="278"/>
      <c r="M50" s="278"/>
      <c r="N50" s="277">
        <f>331.271-142.828</f>
        <v>188.44300000000001</v>
      </c>
      <c r="O50" s="277"/>
      <c r="P50" s="24"/>
    </row>
    <row r="51" spans="1:16" ht="13.5" thickTop="1" thickBot="1">
      <c r="A51" s="862"/>
      <c r="B51" s="275"/>
      <c r="C51" s="276" t="s">
        <v>91</v>
      </c>
      <c r="D51" s="371">
        <f t="shared" si="14"/>
        <v>0</v>
      </c>
      <c r="E51" s="372"/>
      <c r="F51" s="372"/>
      <c r="G51" s="372"/>
      <c r="H51" s="372"/>
      <c r="I51" s="371"/>
      <c r="J51" s="277">
        <f t="shared" si="15"/>
        <v>0</v>
      </c>
      <c r="K51" s="278"/>
      <c r="L51" s="278"/>
      <c r="M51" s="278"/>
      <c r="N51" s="278"/>
      <c r="O51" s="277"/>
    </row>
    <row r="52" spans="1:16" ht="13.5" thickTop="1" thickBot="1">
      <c r="A52" s="862"/>
      <c r="B52" s="263" t="s">
        <v>92</v>
      </c>
      <c r="C52" s="263" t="s">
        <v>93</v>
      </c>
      <c r="D52" s="367">
        <f t="shared" si="14"/>
        <v>0</v>
      </c>
      <c r="E52" s="367"/>
      <c r="F52" s="384"/>
      <c r="G52" s="384"/>
      <c r="H52" s="384"/>
      <c r="I52" s="384"/>
      <c r="J52" s="265">
        <f t="shared" si="15"/>
        <v>0</v>
      </c>
      <c r="K52" s="387"/>
      <c r="L52" s="385"/>
      <c r="M52" s="290"/>
      <c r="N52" s="290"/>
      <c r="O52" s="290"/>
    </row>
    <row r="53" spans="1:16" ht="13.5" thickTop="1" thickBot="1">
      <c r="A53" s="862"/>
      <c r="B53" s="263" t="s">
        <v>94</v>
      </c>
      <c r="C53" s="263" t="s">
        <v>95</v>
      </c>
      <c r="D53" s="374">
        <f t="shared" si="14"/>
        <v>18710</v>
      </c>
      <c r="E53" s="376"/>
      <c r="F53" s="376"/>
      <c r="G53" s="375">
        <v>664</v>
      </c>
      <c r="H53" s="375">
        <f>17384+662</f>
        <v>18046</v>
      </c>
      <c r="I53" s="367"/>
      <c r="J53" s="280">
        <f t="shared" si="15"/>
        <v>17906.195</v>
      </c>
      <c r="K53" s="238"/>
      <c r="L53" s="238"/>
      <c r="M53" s="281">
        <v>611.12099999999998</v>
      </c>
      <c r="N53" s="281">
        <v>17287.507000000001</v>
      </c>
      <c r="O53" s="281">
        <v>7.5669999999999993</v>
      </c>
    </row>
    <row r="54" spans="1:16" ht="13.5" thickTop="1" thickBot="1">
      <c r="A54" s="862"/>
      <c r="B54" s="275"/>
      <c r="C54" s="276" t="s">
        <v>89</v>
      </c>
      <c r="D54" s="371">
        <f t="shared" si="14"/>
        <v>950</v>
      </c>
      <c r="E54" s="377"/>
      <c r="F54" s="377"/>
      <c r="G54" s="376"/>
      <c r="H54" s="376">
        <v>950</v>
      </c>
      <c r="I54" s="372"/>
      <c r="J54" s="277">
        <f t="shared" si="15"/>
        <v>5917.4459999999999</v>
      </c>
      <c r="K54" s="282"/>
      <c r="L54" s="282"/>
      <c r="M54" s="238"/>
      <c r="N54" s="238">
        <v>5917.4459999999999</v>
      </c>
      <c r="O54" s="278"/>
    </row>
    <row r="55" spans="1:16" ht="13.5" thickTop="1" thickBot="1">
      <c r="A55" s="862"/>
      <c r="B55" s="275"/>
      <c r="C55" s="276" t="s">
        <v>90</v>
      </c>
      <c r="D55" s="371">
        <f t="shared" si="14"/>
        <v>0</v>
      </c>
      <c r="E55" s="372"/>
      <c r="F55" s="372"/>
      <c r="G55" s="372"/>
      <c r="H55" s="371"/>
      <c r="I55" s="371"/>
      <c r="J55" s="277">
        <f t="shared" si="15"/>
        <v>0</v>
      </c>
      <c r="K55" s="278"/>
      <c r="L55" s="278"/>
      <c r="M55" s="278"/>
      <c r="N55" s="277"/>
      <c r="O55" s="277"/>
    </row>
    <row r="56" spans="1:16" ht="13.5" thickTop="1" thickBot="1">
      <c r="A56" s="862"/>
      <c r="B56" s="275"/>
      <c r="C56" s="276" t="s">
        <v>91</v>
      </c>
      <c r="D56" s="371">
        <f t="shared" si="14"/>
        <v>0</v>
      </c>
      <c r="E56" s="372"/>
      <c r="F56" s="372"/>
      <c r="G56" s="372"/>
      <c r="H56" s="372"/>
      <c r="I56" s="371"/>
      <c r="J56" s="277">
        <f t="shared" si="15"/>
        <v>0</v>
      </c>
      <c r="K56" s="278"/>
      <c r="L56" s="278"/>
      <c r="M56" s="278"/>
      <c r="N56" s="278"/>
      <c r="O56" s="277"/>
    </row>
    <row r="57" spans="1:16" ht="13.5" thickTop="1" thickBot="1">
      <c r="A57" s="862"/>
      <c r="B57" s="263" t="s">
        <v>96</v>
      </c>
      <c r="C57" s="263" t="s">
        <v>97</v>
      </c>
      <c r="D57" s="367">
        <f t="shared" si="14"/>
        <v>304</v>
      </c>
      <c r="E57" s="367"/>
      <c r="F57" s="367"/>
      <c r="G57" s="367"/>
      <c r="H57" s="329">
        <v>304</v>
      </c>
      <c r="I57" s="367"/>
      <c r="J57" s="265">
        <f t="shared" si="15"/>
        <v>270.24807499999997</v>
      </c>
      <c r="K57" s="265"/>
      <c r="L57" s="265"/>
      <c r="M57" s="265"/>
      <c r="N57" s="340">
        <v>270.24807499999997</v>
      </c>
      <c r="O57" s="265"/>
    </row>
    <row r="58" spans="1:16" ht="13.5" thickTop="1" thickBot="1">
      <c r="A58" s="862"/>
      <c r="B58" s="263" t="s">
        <v>98</v>
      </c>
      <c r="C58" s="263" t="s">
        <v>99</v>
      </c>
      <c r="D58" s="367">
        <f t="shared" si="14"/>
        <v>0</v>
      </c>
      <c r="E58" s="367"/>
      <c r="F58" s="367"/>
      <c r="G58" s="367"/>
      <c r="H58" s="323"/>
      <c r="I58" s="367"/>
      <c r="J58" s="265">
        <f t="shared" si="15"/>
        <v>0</v>
      </c>
      <c r="K58" s="265"/>
      <c r="L58" s="265"/>
      <c r="M58" s="265"/>
      <c r="N58" s="283"/>
      <c r="O58" s="265"/>
    </row>
    <row r="59" spans="1:16" ht="13.5" thickTop="1" thickBot="1">
      <c r="A59" s="862"/>
      <c r="B59" s="204" t="s">
        <v>171</v>
      </c>
      <c r="C59" s="205" t="s">
        <v>190</v>
      </c>
      <c r="D59" s="325">
        <f t="shared" si="14"/>
        <v>2500</v>
      </c>
      <c r="E59" s="339"/>
      <c r="F59" s="339">
        <v>1370</v>
      </c>
      <c r="G59" s="284"/>
      <c r="H59" s="476">
        <v>320</v>
      </c>
      <c r="I59" s="476">
        <v>810</v>
      </c>
      <c r="J59" s="206">
        <f t="shared" si="15"/>
        <v>2270.8339999999998</v>
      </c>
      <c r="K59" s="339"/>
      <c r="L59" s="339">
        <v>1122.3800000000001</v>
      </c>
      <c r="M59" s="214"/>
      <c r="N59" s="339">
        <f>486.563+13.114</f>
        <v>499.67699999999996</v>
      </c>
      <c r="O59" s="339">
        <f>510.285+138.492</f>
        <v>648.77700000000004</v>
      </c>
    </row>
    <row r="60" spans="1:16" ht="13.5" thickTop="1" thickBot="1">
      <c r="A60" s="862"/>
      <c r="B60" s="182" t="s">
        <v>172</v>
      </c>
      <c r="C60" s="182" t="s">
        <v>88</v>
      </c>
      <c r="D60" s="324">
        <f t="shared" si="14"/>
        <v>0</v>
      </c>
      <c r="E60" s="324"/>
      <c r="F60" s="324"/>
      <c r="G60" s="324"/>
      <c r="H60" s="324"/>
      <c r="I60" s="324"/>
      <c r="J60" s="196">
        <f t="shared" si="15"/>
        <v>0</v>
      </c>
      <c r="K60" s="196"/>
      <c r="L60" s="196"/>
      <c r="M60" s="196"/>
      <c r="N60" s="196"/>
      <c r="O60" s="196"/>
    </row>
    <row r="61" spans="1:16" ht="13.5" thickTop="1" thickBot="1">
      <c r="A61" s="862"/>
      <c r="B61" s="207"/>
      <c r="C61" s="208" t="s">
        <v>89</v>
      </c>
      <c r="D61" s="326">
        <f t="shared" si="14"/>
        <v>0</v>
      </c>
      <c r="E61" s="327"/>
      <c r="F61" s="327"/>
      <c r="G61" s="326"/>
      <c r="H61" s="326"/>
      <c r="I61" s="327"/>
      <c r="J61" s="209">
        <f t="shared" si="15"/>
        <v>0</v>
      </c>
      <c r="K61" s="210"/>
      <c r="L61" s="210"/>
      <c r="M61" s="381"/>
      <c r="N61" s="381"/>
      <c r="O61" s="210"/>
    </row>
    <row r="62" spans="1:16" ht="13.5" thickTop="1" thickBot="1">
      <c r="A62" s="862"/>
      <c r="B62" s="207"/>
      <c r="C62" s="208" t="s">
        <v>90</v>
      </c>
      <c r="D62" s="326">
        <f t="shared" si="14"/>
        <v>0</v>
      </c>
      <c r="E62" s="327"/>
      <c r="F62" s="327"/>
      <c r="G62" s="327"/>
      <c r="H62" s="326"/>
      <c r="I62" s="326"/>
      <c r="J62" s="209">
        <f t="shared" si="15"/>
        <v>0</v>
      </c>
      <c r="K62" s="210"/>
      <c r="L62" s="210"/>
      <c r="M62" s="382"/>
      <c r="N62" s="381"/>
      <c r="O62" s="209"/>
    </row>
    <row r="63" spans="1:16" ht="13.5" thickTop="1" thickBot="1">
      <c r="A63" s="862"/>
      <c r="B63" s="207"/>
      <c r="C63" s="208" t="s">
        <v>91</v>
      </c>
      <c r="D63" s="326">
        <f t="shared" si="14"/>
        <v>0</v>
      </c>
      <c r="E63" s="327"/>
      <c r="F63" s="327"/>
      <c r="G63" s="327"/>
      <c r="H63" s="327"/>
      <c r="I63" s="326"/>
      <c r="J63" s="209">
        <f t="shared" si="15"/>
        <v>0</v>
      </c>
      <c r="K63" s="210"/>
      <c r="L63" s="210"/>
      <c r="M63" s="210"/>
      <c r="N63" s="210"/>
      <c r="O63" s="209"/>
    </row>
    <row r="64" spans="1:16" ht="13.5" thickTop="1" thickBot="1">
      <c r="A64" s="862"/>
      <c r="B64" s="182" t="s">
        <v>173</v>
      </c>
      <c r="C64" s="182" t="s">
        <v>93</v>
      </c>
      <c r="D64" s="324">
        <f t="shared" si="14"/>
        <v>0</v>
      </c>
      <c r="E64" s="432"/>
      <c r="F64" s="432"/>
      <c r="G64" s="328"/>
      <c r="H64" s="328"/>
      <c r="I64" s="324"/>
      <c r="J64" s="196">
        <f t="shared" si="15"/>
        <v>0</v>
      </c>
      <c r="K64" s="334"/>
      <c r="L64" s="334"/>
      <c r="M64" s="211"/>
      <c r="N64" s="211"/>
      <c r="O64" s="196"/>
    </row>
    <row r="65" spans="1:16" ht="13.5" thickTop="1" thickBot="1">
      <c r="A65" s="862"/>
      <c r="B65" s="182" t="s">
        <v>174</v>
      </c>
      <c r="C65" s="182" t="s">
        <v>95</v>
      </c>
      <c r="D65" s="330">
        <f t="shared" si="14"/>
        <v>0</v>
      </c>
      <c r="E65" s="378"/>
      <c r="F65" s="326"/>
      <c r="G65" s="326"/>
      <c r="H65" s="326"/>
      <c r="I65" s="324"/>
      <c r="J65" s="213">
        <f t="shared" si="15"/>
        <v>0</v>
      </c>
      <c r="K65" s="472"/>
      <c r="L65" s="209"/>
      <c r="M65" s="209"/>
      <c r="N65" s="209"/>
      <c r="O65" s="196"/>
      <c r="P65" s="318"/>
    </row>
    <row r="66" spans="1:16" ht="13.5" thickTop="1" thickBot="1">
      <c r="A66" s="862"/>
      <c r="B66" s="207"/>
      <c r="C66" s="208" t="s">
        <v>89</v>
      </c>
      <c r="D66" s="326">
        <f t="shared" si="14"/>
        <v>0</v>
      </c>
      <c r="E66" s="327"/>
      <c r="F66" s="327"/>
      <c r="G66" s="326"/>
      <c r="H66" s="326"/>
      <c r="I66" s="327"/>
      <c r="J66" s="209">
        <f t="shared" si="15"/>
        <v>0</v>
      </c>
      <c r="K66" s="210"/>
      <c r="L66" s="210"/>
      <c r="M66" s="209"/>
      <c r="N66" s="209"/>
      <c r="O66" s="210"/>
    </row>
    <row r="67" spans="1:16" ht="13.5" thickTop="1" thickBot="1">
      <c r="A67" s="862"/>
      <c r="B67" s="207"/>
      <c r="C67" s="208" t="s">
        <v>90</v>
      </c>
      <c r="D67" s="326">
        <f t="shared" si="14"/>
        <v>0</v>
      </c>
      <c r="E67" s="327"/>
      <c r="F67" s="327"/>
      <c r="G67" s="327"/>
      <c r="H67" s="326"/>
      <c r="I67" s="326"/>
      <c r="J67" s="209">
        <f t="shared" si="15"/>
        <v>0</v>
      </c>
      <c r="K67" s="210"/>
      <c r="L67" s="210"/>
      <c r="M67" s="210"/>
      <c r="N67" s="209"/>
      <c r="O67" s="209"/>
    </row>
    <row r="68" spans="1:16" ht="13.5" thickTop="1" thickBot="1">
      <c r="A68" s="862"/>
      <c r="B68" s="207"/>
      <c r="C68" s="208" t="s">
        <v>91</v>
      </c>
      <c r="D68" s="326">
        <f t="shared" si="14"/>
        <v>0</v>
      </c>
      <c r="E68" s="327"/>
      <c r="F68" s="327"/>
      <c r="G68" s="327"/>
      <c r="H68" s="327"/>
      <c r="I68" s="326"/>
      <c r="J68" s="209">
        <f t="shared" si="15"/>
        <v>0</v>
      </c>
      <c r="K68" s="210"/>
      <c r="L68" s="210"/>
      <c r="M68" s="210"/>
      <c r="N68" s="210"/>
      <c r="O68" s="209"/>
    </row>
    <row r="69" spans="1:16" ht="13.5" thickTop="1" thickBot="1">
      <c r="A69" s="862"/>
      <c r="B69" s="182" t="s">
        <v>176</v>
      </c>
      <c r="C69" s="182" t="s">
        <v>97</v>
      </c>
      <c r="D69" s="324">
        <f t="shared" si="14"/>
        <v>0</v>
      </c>
      <c r="E69" s="324"/>
      <c r="F69" s="324"/>
      <c r="G69" s="324"/>
      <c r="H69" s="323"/>
      <c r="I69" s="324"/>
      <c r="J69" s="196">
        <f t="shared" si="15"/>
        <v>0</v>
      </c>
      <c r="K69" s="196"/>
      <c r="L69" s="196"/>
      <c r="M69" s="196"/>
      <c r="N69" s="185"/>
      <c r="O69" s="196"/>
    </row>
    <row r="70" spans="1:16" ht="13.5" thickTop="1" thickBot="1">
      <c r="A70" s="862"/>
      <c r="B70" s="182" t="s">
        <v>175</v>
      </c>
      <c r="C70" s="182" t="s">
        <v>99</v>
      </c>
      <c r="D70" s="324">
        <f t="shared" si="14"/>
        <v>0</v>
      </c>
      <c r="E70" s="324"/>
      <c r="F70" s="324"/>
      <c r="G70" s="324"/>
      <c r="H70" s="323"/>
      <c r="I70" s="324"/>
      <c r="J70" s="196">
        <f t="shared" si="15"/>
        <v>0</v>
      </c>
      <c r="K70" s="196"/>
      <c r="L70" s="196"/>
      <c r="M70" s="196"/>
      <c r="N70" s="185"/>
      <c r="O70" s="196"/>
    </row>
    <row r="71" spans="1:16" ht="13.5" thickTop="1" thickBot="1">
      <c r="A71" s="862"/>
      <c r="B71" s="204" t="s">
        <v>177</v>
      </c>
      <c r="C71" s="205" t="s">
        <v>203</v>
      </c>
      <c r="D71" s="325">
        <f t="shared" si="14"/>
        <v>3030</v>
      </c>
      <c r="E71" s="284"/>
      <c r="F71" s="284"/>
      <c r="G71" s="599">
        <v>1900</v>
      </c>
      <c r="H71" s="599">
        <v>1130</v>
      </c>
      <c r="I71" s="284"/>
      <c r="J71" s="581">
        <f t="shared" si="15"/>
        <v>2746.8959999999997</v>
      </c>
      <c r="K71" s="284"/>
      <c r="L71" s="284"/>
      <c r="M71" s="350">
        <v>49.72</v>
      </c>
      <c r="N71" s="350">
        <f>353.869+2001.023</f>
        <v>2354.8919999999998</v>
      </c>
      <c r="O71" s="350">
        <v>342.28399999999999</v>
      </c>
    </row>
    <row r="72" spans="1:16" ht="13.5" thickTop="1" thickBot="1">
      <c r="A72" s="862"/>
      <c r="B72" s="182" t="s">
        <v>178</v>
      </c>
      <c r="C72" s="182" t="s">
        <v>88</v>
      </c>
      <c r="D72" s="324">
        <f t="shared" si="14"/>
        <v>0</v>
      </c>
      <c r="E72" s="324"/>
      <c r="F72" s="324"/>
      <c r="G72" s="633"/>
      <c r="H72" s="633"/>
      <c r="I72" s="324"/>
      <c r="J72" s="196">
        <f t="shared" si="15"/>
        <v>0</v>
      </c>
      <c r="K72" s="196"/>
      <c r="L72" s="196"/>
      <c r="M72" s="265"/>
      <c r="N72" s="473"/>
      <c r="O72" s="196"/>
    </row>
    <row r="73" spans="1:16" ht="13.5" thickTop="1" thickBot="1">
      <c r="A73" s="862"/>
      <c r="B73" s="207"/>
      <c r="C73" s="208" t="s">
        <v>89</v>
      </c>
      <c r="D73" s="326">
        <f t="shared" si="14"/>
        <v>622</v>
      </c>
      <c r="E73" s="327"/>
      <c r="F73" s="327"/>
      <c r="G73" s="602">
        <f>G71-G78</f>
        <v>380</v>
      </c>
      <c r="H73" s="602">
        <f>H71-H78</f>
        <v>242</v>
      </c>
      <c r="I73" s="327"/>
      <c r="J73" s="734">
        <f t="shared" ref="J73" si="16">SUM(K73:O73)</f>
        <v>-2200.8230000000003</v>
      </c>
      <c r="K73" s="210"/>
      <c r="L73" s="210"/>
      <c r="M73" s="729">
        <f>M71-M78</f>
        <v>49.72</v>
      </c>
      <c r="N73" s="730">
        <f>-N78</f>
        <v>-2250.5430000000001</v>
      </c>
      <c r="O73" s="210"/>
    </row>
    <row r="74" spans="1:16" ht="13.5" thickTop="1" thickBot="1">
      <c r="A74" s="862"/>
      <c r="B74" s="207"/>
      <c r="C74" s="208" t="s">
        <v>90</v>
      </c>
      <c r="D74" s="326">
        <f t="shared" si="14"/>
        <v>0</v>
      </c>
      <c r="E74" s="327"/>
      <c r="F74" s="327"/>
      <c r="G74" s="630"/>
      <c r="H74" s="631"/>
      <c r="I74" s="326"/>
      <c r="J74" s="209">
        <f t="shared" si="15"/>
        <v>0</v>
      </c>
      <c r="K74" s="210"/>
      <c r="L74" s="210"/>
      <c r="M74" s="210"/>
      <c r="N74" s="320"/>
      <c r="O74" s="209"/>
    </row>
    <row r="75" spans="1:16" ht="13.5" thickTop="1" thickBot="1">
      <c r="A75" s="862"/>
      <c r="B75" s="207"/>
      <c r="C75" s="208" t="s">
        <v>91</v>
      </c>
      <c r="D75" s="326">
        <f t="shared" si="14"/>
        <v>0</v>
      </c>
      <c r="E75" s="327"/>
      <c r="F75" s="327"/>
      <c r="G75" s="630"/>
      <c r="H75" s="630"/>
      <c r="I75" s="326"/>
      <c r="J75" s="209">
        <f t="shared" si="15"/>
        <v>0</v>
      </c>
      <c r="K75" s="210"/>
      <c r="L75" s="210"/>
      <c r="M75" s="210"/>
      <c r="N75" s="210"/>
      <c r="O75" s="209"/>
    </row>
    <row r="76" spans="1:16" ht="13.5" thickTop="1" thickBot="1">
      <c r="A76" s="862"/>
      <c r="B76" s="182" t="s">
        <v>179</v>
      </c>
      <c r="C76" s="182" t="s">
        <v>93</v>
      </c>
      <c r="D76" s="324">
        <f t="shared" si="14"/>
        <v>0</v>
      </c>
      <c r="E76" s="324"/>
      <c r="F76" s="324"/>
      <c r="G76" s="632"/>
      <c r="H76" s="632"/>
      <c r="I76" s="324"/>
      <c r="J76" s="196">
        <f t="shared" si="15"/>
        <v>0</v>
      </c>
      <c r="K76" s="196"/>
      <c r="L76" s="196"/>
      <c r="M76" s="211"/>
      <c r="N76" s="211"/>
      <c r="O76" s="196"/>
    </row>
    <row r="77" spans="1:16" ht="13.5" thickTop="1" thickBot="1">
      <c r="A77" s="862"/>
      <c r="B77" s="182" t="s">
        <v>180</v>
      </c>
      <c r="C77" s="182" t="s">
        <v>95</v>
      </c>
      <c r="D77" s="330">
        <f t="shared" si="14"/>
        <v>0</v>
      </c>
      <c r="E77" s="380"/>
      <c r="F77" s="326"/>
      <c r="G77" s="602"/>
      <c r="H77" s="602"/>
      <c r="I77" s="324"/>
      <c r="J77" s="213">
        <f t="shared" si="15"/>
        <v>0</v>
      </c>
      <c r="K77" s="383"/>
      <c r="L77" s="209"/>
      <c r="M77" s="320"/>
      <c r="N77" s="320"/>
      <c r="O77" s="196"/>
    </row>
    <row r="78" spans="1:16" ht="13.5" thickTop="1" thickBot="1">
      <c r="A78" s="862"/>
      <c r="B78" s="207"/>
      <c r="C78" s="208" t="s">
        <v>89</v>
      </c>
      <c r="D78" s="326">
        <f t="shared" si="14"/>
        <v>2408</v>
      </c>
      <c r="E78" s="327"/>
      <c r="F78" s="327"/>
      <c r="G78" s="326">
        <f>400+1120</f>
        <v>1520</v>
      </c>
      <c r="H78" s="326">
        <f>404+484</f>
        <v>888</v>
      </c>
      <c r="I78" s="327"/>
      <c r="J78" s="209">
        <f t="shared" si="15"/>
        <v>2250.5430000000001</v>
      </c>
      <c r="K78" s="210"/>
      <c r="L78" s="210"/>
      <c r="M78" s="209"/>
      <c r="N78" s="209">
        <v>2250.5430000000001</v>
      </c>
      <c r="O78" s="210"/>
    </row>
    <row r="79" spans="1:16" ht="13.5" thickTop="1" thickBot="1">
      <c r="A79" s="862"/>
      <c r="B79" s="207"/>
      <c r="C79" s="208" t="s">
        <v>90</v>
      </c>
      <c r="D79" s="326">
        <f t="shared" si="14"/>
        <v>0</v>
      </c>
      <c r="E79" s="327"/>
      <c r="F79" s="327"/>
      <c r="G79" s="327"/>
      <c r="H79" s="326"/>
      <c r="I79" s="326"/>
      <c r="J79" s="209">
        <f t="shared" si="15"/>
        <v>0</v>
      </c>
      <c r="K79" s="210"/>
      <c r="L79" s="210"/>
      <c r="M79" s="210"/>
      <c r="N79" s="209"/>
      <c r="O79" s="209"/>
    </row>
    <row r="80" spans="1:16" ht="13.5" thickTop="1" thickBot="1">
      <c r="A80" s="862"/>
      <c r="B80" s="207"/>
      <c r="C80" s="208" t="s">
        <v>91</v>
      </c>
      <c r="D80" s="326">
        <f t="shared" si="14"/>
        <v>0</v>
      </c>
      <c r="E80" s="327"/>
      <c r="F80" s="327"/>
      <c r="G80" s="327"/>
      <c r="H80" s="327"/>
      <c r="I80" s="326"/>
      <c r="J80" s="209">
        <f t="shared" si="15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324">
        <f t="shared" si="14"/>
        <v>0</v>
      </c>
      <c r="E81" s="324"/>
      <c r="F81" s="324"/>
      <c r="G81" s="324"/>
      <c r="H81" s="323"/>
      <c r="I81" s="324"/>
      <c r="J81" s="196">
        <f t="shared" si="15"/>
        <v>0</v>
      </c>
      <c r="K81" s="196"/>
      <c r="L81" s="196"/>
      <c r="M81" s="196"/>
      <c r="N81" s="185"/>
      <c r="O81" s="196"/>
    </row>
    <row r="82" spans="1:15" ht="13.5" thickTop="1" thickBot="1">
      <c r="A82" s="862"/>
      <c r="B82" s="182" t="s">
        <v>182</v>
      </c>
      <c r="C82" s="182" t="s">
        <v>99</v>
      </c>
      <c r="D82" s="324">
        <f t="shared" si="14"/>
        <v>0</v>
      </c>
      <c r="E82" s="324"/>
      <c r="F82" s="324"/>
      <c r="G82" s="324"/>
      <c r="H82" s="323"/>
      <c r="I82" s="324"/>
      <c r="J82" s="196">
        <f t="shared" si="15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325">
        <f t="shared" si="14"/>
        <v>68100</v>
      </c>
      <c r="E83" s="284"/>
      <c r="F83" s="339">
        <v>68100</v>
      </c>
      <c r="G83" s="284"/>
      <c r="H83" s="284"/>
      <c r="I83" s="284"/>
      <c r="J83" s="206">
        <f t="shared" si="15"/>
        <v>68790.06</v>
      </c>
      <c r="K83" s="284"/>
      <c r="L83" s="339">
        <v>68790.06</v>
      </c>
      <c r="M83" s="214"/>
      <c r="N83" s="214"/>
      <c r="O83" s="214"/>
    </row>
    <row r="84" spans="1:15" ht="13.5" thickTop="1" thickBot="1">
      <c r="A84" s="862"/>
      <c r="B84" s="182" t="s">
        <v>184</v>
      </c>
      <c r="C84" s="182" t="s">
        <v>88</v>
      </c>
      <c r="D84" s="324">
        <f t="shared" si="14"/>
        <v>0</v>
      </c>
      <c r="E84" s="324"/>
      <c r="F84" s="324"/>
      <c r="G84" s="324"/>
      <c r="H84" s="324"/>
      <c r="I84" s="324"/>
      <c r="J84" s="196">
        <f t="shared" si="15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326">
        <f t="shared" si="14"/>
        <v>0</v>
      </c>
      <c r="E85" s="327"/>
      <c r="F85" s="327"/>
      <c r="G85" s="326"/>
      <c r="H85" s="326"/>
      <c r="I85" s="327"/>
      <c r="J85" s="209">
        <f t="shared" si="15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326">
        <f t="shared" si="14"/>
        <v>0</v>
      </c>
      <c r="E86" s="327"/>
      <c r="F86" s="327"/>
      <c r="G86" s="327"/>
      <c r="H86" s="326"/>
      <c r="I86" s="326"/>
      <c r="J86" s="209">
        <f t="shared" si="15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326">
        <f t="shared" si="14"/>
        <v>0</v>
      </c>
      <c r="E87" s="327"/>
      <c r="F87" s="327"/>
      <c r="G87" s="327"/>
      <c r="H87" s="327"/>
      <c r="I87" s="326"/>
      <c r="J87" s="209">
        <f t="shared" si="15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324">
        <f t="shared" si="14"/>
        <v>0</v>
      </c>
      <c r="E88" s="324"/>
      <c r="F88" s="324"/>
      <c r="G88" s="328"/>
      <c r="H88" s="328"/>
      <c r="I88" s="324"/>
      <c r="J88" s="196">
        <f t="shared" si="15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330">
        <f t="shared" si="14"/>
        <v>28067</v>
      </c>
      <c r="E89" s="380"/>
      <c r="F89" s="331">
        <v>28067</v>
      </c>
      <c r="G89" s="326"/>
      <c r="H89" s="326"/>
      <c r="I89" s="324"/>
      <c r="J89" s="213">
        <f t="shared" si="15"/>
        <v>27753</v>
      </c>
      <c r="K89" s="383"/>
      <c r="L89" s="320">
        <v>27753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326">
        <f t="shared" si="14"/>
        <v>0</v>
      </c>
      <c r="E90" s="327"/>
      <c r="F90" s="327"/>
      <c r="G90" s="326"/>
      <c r="H90" s="326"/>
      <c r="I90" s="327"/>
      <c r="J90" s="209">
        <f t="shared" si="15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326">
        <f t="shared" si="14"/>
        <v>0</v>
      </c>
      <c r="E91" s="327"/>
      <c r="F91" s="327"/>
      <c r="G91" s="327"/>
      <c r="H91" s="326"/>
      <c r="I91" s="326"/>
      <c r="J91" s="209">
        <f t="shared" si="15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326">
        <f t="shared" si="14"/>
        <v>0</v>
      </c>
      <c r="E92" s="327"/>
      <c r="F92" s="327"/>
      <c r="G92" s="327"/>
      <c r="H92" s="327"/>
      <c r="I92" s="326"/>
      <c r="J92" s="209">
        <f t="shared" si="15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324">
        <f t="shared" si="14"/>
        <v>0</v>
      </c>
      <c r="E93" s="324"/>
      <c r="F93" s="324"/>
      <c r="G93" s="324"/>
      <c r="H93" s="323"/>
      <c r="I93" s="324"/>
      <c r="J93" s="196">
        <f t="shared" si="15"/>
        <v>0</v>
      </c>
      <c r="K93" s="196"/>
      <c r="L93" s="196"/>
      <c r="M93" s="196"/>
      <c r="N93" s="185"/>
      <c r="O93" s="196"/>
    </row>
    <row r="94" spans="1:15" ht="13.5" thickTop="1" thickBot="1">
      <c r="A94" s="862"/>
      <c r="B94" s="182" t="s">
        <v>188</v>
      </c>
      <c r="C94" s="182" t="s">
        <v>99</v>
      </c>
      <c r="D94" s="324">
        <f t="shared" si="14"/>
        <v>0</v>
      </c>
      <c r="E94" s="324"/>
      <c r="F94" s="324"/>
      <c r="G94" s="324"/>
      <c r="H94" s="323"/>
      <c r="I94" s="324"/>
      <c r="J94" s="196">
        <f t="shared" si="15"/>
        <v>0</v>
      </c>
      <c r="K94" s="196"/>
      <c r="L94" s="196"/>
      <c r="M94" s="196"/>
      <c r="N94" s="196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>
        <f t="shared" ref="D95:D106" si="17">SUM(E95:I95)</f>
        <v>5020</v>
      </c>
      <c r="E95" s="284"/>
      <c r="F95" s="325"/>
      <c r="G95" s="284"/>
      <c r="H95" s="692">
        <v>5020</v>
      </c>
      <c r="I95" s="284"/>
      <c r="J95" s="206">
        <f t="shared" ref="J95:J106" si="18">SUM(K95:O95)</f>
        <v>3347.846</v>
      </c>
      <c r="K95" s="284"/>
      <c r="L95" s="325"/>
      <c r="M95" s="214"/>
      <c r="N95" s="732">
        <v>3347.846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7"/>
        <v>0</v>
      </c>
      <c r="E96" s="324"/>
      <c r="F96" s="324"/>
      <c r="G96" s="324"/>
      <c r="H96" s="694"/>
      <c r="I96" s="324"/>
      <c r="J96" s="196">
        <f t="shared" si="18"/>
        <v>0</v>
      </c>
      <c r="K96" s="196"/>
      <c r="L96" s="196"/>
      <c r="M96" s="196"/>
      <c r="N96" s="733"/>
      <c r="O96" s="196"/>
    </row>
    <row r="97" spans="1:15" ht="13.5" thickTop="1" thickBot="1">
      <c r="A97" s="862"/>
      <c r="B97" s="207"/>
      <c r="C97" s="208" t="s">
        <v>89</v>
      </c>
      <c r="D97" s="326">
        <f t="shared" si="17"/>
        <v>1230</v>
      </c>
      <c r="E97" s="327"/>
      <c r="F97" s="327"/>
      <c r="G97" s="326"/>
      <c r="H97" s="692">
        <v>1230</v>
      </c>
      <c r="I97" s="327"/>
      <c r="J97" s="209">
        <f t="shared" si="18"/>
        <v>949.61199999999997</v>
      </c>
      <c r="K97" s="210"/>
      <c r="L97" s="210"/>
      <c r="M97" s="209"/>
      <c r="N97" s="699">
        <v>949.61199999999997</v>
      </c>
      <c r="O97" s="210"/>
    </row>
    <row r="98" spans="1:15" ht="13.5" thickTop="1" thickBot="1">
      <c r="A98" s="862"/>
      <c r="B98" s="207"/>
      <c r="C98" s="208" t="s">
        <v>90</v>
      </c>
      <c r="D98" s="326">
        <f t="shared" si="17"/>
        <v>2530</v>
      </c>
      <c r="E98" s="327"/>
      <c r="F98" s="327"/>
      <c r="G98" s="327"/>
      <c r="H98" s="692">
        <v>2530</v>
      </c>
      <c r="I98" s="326"/>
      <c r="J98" s="209">
        <f t="shared" si="18"/>
        <v>1030.903</v>
      </c>
      <c r="K98" s="210"/>
      <c r="L98" s="210"/>
      <c r="M98" s="210"/>
      <c r="N98" s="699">
        <v>1030.903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7"/>
        <v>0</v>
      </c>
      <c r="E99" s="327"/>
      <c r="F99" s="327"/>
      <c r="G99" s="327"/>
      <c r="H99" s="327"/>
      <c r="I99" s="326"/>
      <c r="J99" s="209">
        <f t="shared" si="18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7"/>
        <v>0</v>
      </c>
      <c r="E100" s="324"/>
      <c r="F100" s="324"/>
      <c r="G100" s="328"/>
      <c r="H100" s="328"/>
      <c r="I100" s="324"/>
      <c r="J100" s="196">
        <f t="shared" si="18"/>
        <v>0</v>
      </c>
      <c r="K100" s="196"/>
      <c r="L100" s="196"/>
      <c r="M100" s="211"/>
      <c r="N100" s="211"/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7"/>
        <v>0</v>
      </c>
      <c r="E101" s="380"/>
      <c r="F101" s="331"/>
      <c r="G101" s="326"/>
      <c r="H101" s="326"/>
      <c r="I101" s="324"/>
      <c r="J101" s="213">
        <f t="shared" si="18"/>
        <v>0</v>
      </c>
      <c r="K101" s="383"/>
      <c r="L101" s="320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7"/>
        <v>0</v>
      </c>
      <c r="E102" s="327"/>
      <c r="F102" s="327"/>
      <c r="G102" s="326"/>
      <c r="H102" s="326"/>
      <c r="I102" s="327"/>
      <c r="J102" s="209">
        <f t="shared" si="18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7"/>
        <v>0</v>
      </c>
      <c r="E103" s="327"/>
      <c r="F103" s="327"/>
      <c r="G103" s="327"/>
      <c r="H103" s="326"/>
      <c r="I103" s="326"/>
      <c r="J103" s="209">
        <f t="shared" si="18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7"/>
        <v>0</v>
      </c>
      <c r="E104" s="327"/>
      <c r="F104" s="327"/>
      <c r="G104" s="327"/>
      <c r="H104" s="327"/>
      <c r="I104" s="326"/>
      <c r="J104" s="209">
        <f t="shared" si="18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7"/>
        <v>0</v>
      </c>
      <c r="E105" s="324"/>
      <c r="F105" s="324"/>
      <c r="G105" s="324"/>
      <c r="H105" s="324"/>
      <c r="I105" s="324"/>
      <c r="J105" s="196">
        <f t="shared" si="18"/>
        <v>0</v>
      </c>
      <c r="K105" s="196"/>
      <c r="L105" s="196"/>
      <c r="M105" s="196"/>
      <c r="N105" s="185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7"/>
        <v>0</v>
      </c>
      <c r="E106" s="324"/>
      <c r="F106" s="324"/>
      <c r="G106" s="324"/>
      <c r="H106" s="323"/>
      <c r="I106" s="324"/>
      <c r="J106" s="196">
        <f t="shared" si="18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>
        <f t="shared" ref="D107:D118" si="19">SUM(E107:I107)</f>
        <v>0</v>
      </c>
      <c r="E107" s="284"/>
      <c r="F107" s="325"/>
      <c r="G107" s="284"/>
      <c r="H107" s="339"/>
      <c r="I107" s="284"/>
      <c r="J107" s="206">
        <f t="shared" ref="J107:J118" si="20">SUM(K107:O107)</f>
        <v>699.096</v>
      </c>
      <c r="K107" s="284"/>
      <c r="L107" s="325"/>
      <c r="M107" s="214"/>
      <c r="N107" s="339">
        <v>699.096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9"/>
        <v>0</v>
      </c>
      <c r="E108" s="324"/>
      <c r="F108" s="324"/>
      <c r="G108" s="324"/>
      <c r="H108" s="324"/>
      <c r="I108" s="324"/>
      <c r="J108" s="196">
        <f t="shared" si="20"/>
        <v>0</v>
      </c>
      <c r="K108" s="196"/>
      <c r="L108" s="196"/>
      <c r="M108" s="196"/>
      <c r="N108" s="196"/>
      <c r="O108" s="196"/>
    </row>
    <row r="109" spans="1:15" ht="13.5" thickTop="1" thickBot="1">
      <c r="A109" s="862"/>
      <c r="B109" s="207"/>
      <c r="C109" s="208" t="s">
        <v>89</v>
      </c>
      <c r="D109" s="326">
        <f t="shared" si="19"/>
        <v>0</v>
      </c>
      <c r="E109" s="327"/>
      <c r="F109" s="327"/>
      <c r="G109" s="326"/>
      <c r="H109" s="339"/>
      <c r="I109" s="327"/>
      <c r="J109" s="209">
        <f t="shared" si="20"/>
        <v>699.096</v>
      </c>
      <c r="K109" s="210"/>
      <c r="L109" s="210"/>
      <c r="M109" s="209"/>
      <c r="N109" s="339">
        <v>699.096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9"/>
        <v>0</v>
      </c>
      <c r="E110" s="327"/>
      <c r="F110" s="327"/>
      <c r="G110" s="327"/>
      <c r="H110" s="339"/>
      <c r="I110" s="326"/>
      <c r="J110" s="209">
        <f t="shared" si="20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9"/>
        <v>0</v>
      </c>
      <c r="E111" s="327"/>
      <c r="F111" s="327"/>
      <c r="G111" s="327"/>
      <c r="H111" s="327"/>
      <c r="I111" s="326"/>
      <c r="J111" s="209">
        <f t="shared" si="20"/>
        <v>0</v>
      </c>
      <c r="K111" s="210"/>
      <c r="L111" s="210"/>
      <c r="M111" s="210"/>
      <c r="N111" s="210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9"/>
        <v>0</v>
      </c>
      <c r="E112" s="324"/>
      <c r="F112" s="324"/>
      <c r="G112" s="328"/>
      <c r="H112" s="328"/>
      <c r="I112" s="324"/>
      <c r="J112" s="196">
        <f t="shared" si="20"/>
        <v>0</v>
      </c>
      <c r="K112" s="196"/>
      <c r="L112" s="196"/>
      <c r="M112" s="211"/>
      <c r="N112" s="211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9"/>
        <v>0</v>
      </c>
      <c r="E113" s="380"/>
      <c r="F113" s="331"/>
      <c r="G113" s="326"/>
      <c r="H113" s="326"/>
      <c r="I113" s="324"/>
      <c r="J113" s="213">
        <f t="shared" si="20"/>
        <v>0</v>
      </c>
      <c r="K113" s="383"/>
      <c r="L113" s="320"/>
      <c r="M113" s="209"/>
      <c r="N113" s="209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9"/>
        <v>0</v>
      </c>
      <c r="E114" s="327"/>
      <c r="F114" s="327"/>
      <c r="G114" s="326"/>
      <c r="H114" s="326"/>
      <c r="I114" s="327"/>
      <c r="J114" s="209">
        <f t="shared" si="20"/>
        <v>0</v>
      </c>
      <c r="K114" s="210"/>
      <c r="L114" s="210"/>
      <c r="M114" s="209"/>
      <c r="N114" s="209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9"/>
        <v>0</v>
      </c>
      <c r="E115" s="327"/>
      <c r="F115" s="327"/>
      <c r="G115" s="327"/>
      <c r="H115" s="326"/>
      <c r="I115" s="326"/>
      <c r="J115" s="209">
        <f t="shared" si="20"/>
        <v>0</v>
      </c>
      <c r="K115" s="210"/>
      <c r="L115" s="210"/>
      <c r="M115" s="210"/>
      <c r="N115" s="209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9"/>
        <v>0</v>
      </c>
      <c r="E116" s="327"/>
      <c r="F116" s="327"/>
      <c r="G116" s="327"/>
      <c r="H116" s="327"/>
      <c r="I116" s="326"/>
      <c r="J116" s="209">
        <f t="shared" si="20"/>
        <v>0</v>
      </c>
      <c r="K116" s="210"/>
      <c r="L116" s="210"/>
      <c r="M116" s="210"/>
      <c r="N116" s="210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9"/>
        <v>0</v>
      </c>
      <c r="E117" s="324"/>
      <c r="F117" s="324"/>
      <c r="G117" s="324"/>
      <c r="H117" s="324"/>
      <c r="I117" s="324"/>
      <c r="J117" s="196">
        <f t="shared" si="20"/>
        <v>0</v>
      </c>
      <c r="K117" s="196"/>
      <c r="L117" s="196"/>
      <c r="M117" s="196"/>
      <c r="N117" s="185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9"/>
        <v>0</v>
      </c>
      <c r="E118" s="324"/>
      <c r="F118" s="324"/>
      <c r="G118" s="324"/>
      <c r="H118" s="323"/>
      <c r="I118" s="324"/>
      <c r="J118" s="196">
        <f t="shared" si="20"/>
        <v>0</v>
      </c>
      <c r="K118" s="196"/>
      <c r="L118" s="196"/>
      <c r="M118" s="196"/>
      <c r="N118" s="196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>
        <f t="shared" ref="D119:D130" si="21">SUM(E119:I119)</f>
        <v>0</v>
      </c>
      <c r="E119" s="284"/>
      <c r="F119" s="325"/>
      <c r="G119" s="284"/>
      <c r="H119" s="339"/>
      <c r="I119" s="339"/>
      <c r="J119" s="206">
        <f t="shared" ref="J119:J130" si="22">SUM(K119:O119)</f>
        <v>385.899</v>
      </c>
      <c r="K119" s="284"/>
      <c r="L119" s="325"/>
      <c r="M119" s="214"/>
      <c r="N119" s="339">
        <v>385.899</v>
      </c>
      <c r="O119" s="339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21"/>
        <v>0</v>
      </c>
      <c r="E120" s="324"/>
      <c r="F120" s="324"/>
      <c r="G120" s="324"/>
      <c r="H120" s="324"/>
      <c r="I120" s="324"/>
      <c r="J120" s="196">
        <f t="shared" si="22"/>
        <v>0</v>
      </c>
      <c r="K120" s="196"/>
      <c r="L120" s="196"/>
      <c r="M120" s="196"/>
      <c r="N120" s="196"/>
      <c r="O120" s="196"/>
    </row>
    <row r="121" spans="1:15" ht="13.5" thickTop="1" thickBot="1">
      <c r="A121" s="862"/>
      <c r="B121" s="207"/>
      <c r="C121" s="208" t="s">
        <v>89</v>
      </c>
      <c r="D121" s="326">
        <f t="shared" si="21"/>
        <v>0</v>
      </c>
      <c r="E121" s="327"/>
      <c r="F121" s="327"/>
      <c r="G121" s="326"/>
      <c r="H121" s="339"/>
      <c r="I121" s="327"/>
      <c r="J121" s="209">
        <f t="shared" si="22"/>
        <v>385.899</v>
      </c>
      <c r="K121" s="210"/>
      <c r="L121" s="210"/>
      <c r="M121" s="209"/>
      <c r="N121" s="339">
        <v>385.899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21"/>
        <v>0</v>
      </c>
      <c r="E122" s="327"/>
      <c r="F122" s="327"/>
      <c r="G122" s="327"/>
      <c r="H122" s="339"/>
      <c r="I122" s="326"/>
      <c r="J122" s="209">
        <f t="shared" si="22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21"/>
        <v>0</v>
      </c>
      <c r="E123" s="327"/>
      <c r="F123" s="327"/>
      <c r="G123" s="327"/>
      <c r="H123" s="327"/>
      <c r="I123" s="326"/>
      <c r="J123" s="209">
        <f t="shared" si="22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21"/>
        <v>0</v>
      </c>
      <c r="E124" s="324"/>
      <c r="F124" s="324"/>
      <c r="G124" s="328"/>
      <c r="H124" s="328"/>
      <c r="I124" s="324"/>
      <c r="J124" s="196">
        <f t="shared" si="22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21"/>
        <v>0</v>
      </c>
      <c r="E125" s="380"/>
      <c r="F125" s="331"/>
      <c r="G125" s="326"/>
      <c r="H125" s="326"/>
      <c r="I125" s="324"/>
      <c r="J125" s="213">
        <f t="shared" si="22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21"/>
        <v>0</v>
      </c>
      <c r="E126" s="327"/>
      <c r="F126" s="327"/>
      <c r="G126" s="326"/>
      <c r="H126" s="326"/>
      <c r="I126" s="327"/>
      <c r="J126" s="209">
        <f t="shared" si="22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21"/>
        <v>0</v>
      </c>
      <c r="E127" s="327"/>
      <c r="F127" s="327"/>
      <c r="G127" s="327"/>
      <c r="H127" s="326"/>
      <c r="I127" s="326"/>
      <c r="J127" s="209">
        <f t="shared" si="22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21"/>
        <v>0</v>
      </c>
      <c r="E128" s="327"/>
      <c r="F128" s="327"/>
      <c r="G128" s="327"/>
      <c r="H128" s="327"/>
      <c r="I128" s="326"/>
      <c r="J128" s="209">
        <f t="shared" si="22"/>
        <v>0</v>
      </c>
      <c r="K128" s="210"/>
      <c r="L128" s="210"/>
      <c r="M128" s="210"/>
      <c r="N128" s="210"/>
      <c r="O128" s="209"/>
    </row>
    <row r="129" spans="1:16" ht="13.5" thickTop="1" thickBot="1">
      <c r="A129" s="862"/>
      <c r="B129" s="182" t="s">
        <v>246</v>
      </c>
      <c r="C129" s="182" t="s">
        <v>97</v>
      </c>
      <c r="D129" s="324">
        <f t="shared" si="21"/>
        <v>0</v>
      </c>
      <c r="E129" s="324"/>
      <c r="F129" s="324"/>
      <c r="G129" s="324"/>
      <c r="H129" s="324"/>
      <c r="I129" s="324"/>
      <c r="J129" s="196">
        <f t="shared" si="22"/>
        <v>0</v>
      </c>
      <c r="K129" s="196"/>
      <c r="L129" s="196"/>
      <c r="M129" s="196"/>
      <c r="N129" s="185"/>
      <c r="O129" s="196"/>
    </row>
    <row r="130" spans="1:16" ht="13.5" thickTop="1" thickBot="1">
      <c r="A130" s="862"/>
      <c r="B130" s="182" t="s">
        <v>247</v>
      </c>
      <c r="C130" s="182" t="s">
        <v>99</v>
      </c>
      <c r="D130" s="324">
        <f t="shared" si="21"/>
        <v>0</v>
      </c>
      <c r="E130" s="324"/>
      <c r="F130" s="324"/>
      <c r="G130" s="324"/>
      <c r="H130" s="323"/>
      <c r="I130" s="324"/>
      <c r="J130" s="196">
        <f t="shared" si="22"/>
        <v>0</v>
      </c>
      <c r="K130" s="196"/>
      <c r="L130" s="196"/>
      <c r="M130" s="196"/>
      <c r="N130" s="196"/>
      <c r="O130" s="196"/>
    </row>
    <row r="131" spans="1:16" ht="13.5" thickTop="1" thickBot="1">
      <c r="A131" s="862"/>
      <c r="B131" s="204" t="s">
        <v>250</v>
      </c>
      <c r="C131" s="595" t="s">
        <v>249</v>
      </c>
      <c r="D131" s="325">
        <f t="shared" ref="D131:D142" si="23">SUM(E131:I131)</f>
        <v>0</v>
      </c>
      <c r="E131" s="284"/>
      <c r="F131" s="325"/>
      <c r="G131" s="284"/>
      <c r="H131" s="339"/>
      <c r="I131" s="284"/>
      <c r="J131" s="581">
        <f t="shared" ref="J131:J142" si="24">SUM(K131:O131)</f>
        <v>81.144000000000005</v>
      </c>
      <c r="K131" s="284"/>
      <c r="L131" s="325"/>
      <c r="M131" s="214"/>
      <c r="N131" s="339">
        <v>62.082000000000001</v>
      </c>
      <c r="O131" s="339">
        <v>19.062000000000001</v>
      </c>
    </row>
    <row r="132" spans="1:16" ht="13.5" thickTop="1" thickBot="1">
      <c r="A132" s="862"/>
      <c r="B132" s="182" t="s">
        <v>251</v>
      </c>
      <c r="C132" s="182" t="s">
        <v>88</v>
      </c>
      <c r="D132" s="324">
        <f t="shared" si="23"/>
        <v>0</v>
      </c>
      <c r="E132" s="324"/>
      <c r="F132" s="324"/>
      <c r="G132" s="324"/>
      <c r="H132" s="324"/>
      <c r="I132" s="324"/>
      <c r="J132" s="196">
        <f t="shared" si="24"/>
        <v>0</v>
      </c>
      <c r="K132" s="196"/>
      <c r="L132" s="196"/>
      <c r="M132" s="196"/>
      <c r="N132" s="196"/>
      <c r="O132" s="196"/>
    </row>
    <row r="133" spans="1:16" ht="13.5" thickTop="1" thickBot="1">
      <c r="A133" s="862"/>
      <c r="B133" s="207"/>
      <c r="C133" s="208" t="s">
        <v>89</v>
      </c>
      <c r="D133" s="326">
        <f t="shared" si="23"/>
        <v>0</v>
      </c>
      <c r="E133" s="327"/>
      <c r="F133" s="327"/>
      <c r="G133" s="326"/>
      <c r="H133" s="339"/>
      <c r="I133" s="327"/>
      <c r="J133" s="209">
        <f t="shared" si="24"/>
        <v>0</v>
      </c>
      <c r="K133" s="210"/>
      <c r="L133" s="210"/>
      <c r="M133" s="209"/>
      <c r="N133" s="339"/>
      <c r="O133" s="210"/>
    </row>
    <row r="134" spans="1:16" ht="13.5" thickTop="1" thickBot="1">
      <c r="A134" s="862"/>
      <c r="B134" s="207"/>
      <c r="C134" s="208" t="s">
        <v>90</v>
      </c>
      <c r="D134" s="326">
        <f t="shared" si="23"/>
        <v>0</v>
      </c>
      <c r="E134" s="327"/>
      <c r="F134" s="327"/>
      <c r="G134" s="327"/>
      <c r="H134" s="339"/>
      <c r="I134" s="326"/>
      <c r="J134" s="209">
        <f t="shared" si="24"/>
        <v>0</v>
      </c>
      <c r="K134" s="210"/>
      <c r="L134" s="210"/>
      <c r="M134" s="210"/>
      <c r="N134" s="699"/>
      <c r="O134" s="209"/>
    </row>
    <row r="135" spans="1:16" ht="13.5" thickTop="1" thickBot="1">
      <c r="A135" s="862"/>
      <c r="B135" s="207"/>
      <c r="C135" s="208" t="s">
        <v>91</v>
      </c>
      <c r="D135" s="326">
        <f t="shared" si="23"/>
        <v>0</v>
      </c>
      <c r="E135" s="327"/>
      <c r="F135" s="327"/>
      <c r="G135" s="327"/>
      <c r="H135" s="327"/>
      <c r="I135" s="326"/>
      <c r="J135" s="209">
        <f t="shared" si="24"/>
        <v>0</v>
      </c>
      <c r="K135" s="210"/>
      <c r="L135" s="210"/>
      <c r="M135" s="210"/>
      <c r="N135" s="210"/>
      <c r="O135" s="209"/>
    </row>
    <row r="136" spans="1:16" ht="13.5" thickTop="1" thickBot="1">
      <c r="A136" s="862"/>
      <c r="B136" s="182" t="s">
        <v>252</v>
      </c>
      <c r="C136" s="182" t="s">
        <v>93</v>
      </c>
      <c r="D136" s="324">
        <f t="shared" si="23"/>
        <v>0</v>
      </c>
      <c r="E136" s="324"/>
      <c r="F136" s="324"/>
      <c r="G136" s="328"/>
      <c r="H136" s="328"/>
      <c r="I136" s="324"/>
      <c r="J136" s="196">
        <f t="shared" si="24"/>
        <v>0</v>
      </c>
      <c r="K136" s="196"/>
      <c r="L136" s="196"/>
      <c r="M136" s="211"/>
      <c r="N136" s="211"/>
      <c r="O136" s="196"/>
    </row>
    <row r="137" spans="1:16" ht="13.5" thickTop="1" thickBot="1">
      <c r="A137" s="862"/>
      <c r="B137" s="182" t="s">
        <v>253</v>
      </c>
      <c r="C137" s="182" t="s">
        <v>95</v>
      </c>
      <c r="D137" s="330">
        <f t="shared" si="23"/>
        <v>0</v>
      </c>
      <c r="E137" s="380"/>
      <c r="F137" s="331"/>
      <c r="G137" s="326"/>
      <c r="H137" s="326"/>
      <c r="I137" s="324"/>
      <c r="J137" s="213">
        <f t="shared" si="24"/>
        <v>0</v>
      </c>
      <c r="K137" s="383"/>
      <c r="L137" s="320"/>
      <c r="M137" s="209"/>
      <c r="N137" s="209"/>
      <c r="O137" s="196"/>
    </row>
    <row r="138" spans="1:16" ht="13.5" thickTop="1" thickBot="1">
      <c r="A138" s="862"/>
      <c r="B138" s="207"/>
      <c r="C138" s="208" t="s">
        <v>89</v>
      </c>
      <c r="D138" s="326">
        <f t="shared" si="23"/>
        <v>0</v>
      </c>
      <c r="E138" s="327"/>
      <c r="F138" s="327"/>
      <c r="G138" s="326"/>
      <c r="H138" s="326"/>
      <c r="I138" s="327"/>
      <c r="J138" s="209">
        <f t="shared" si="24"/>
        <v>0</v>
      </c>
      <c r="K138" s="210"/>
      <c r="L138" s="210"/>
      <c r="M138" s="209"/>
      <c r="N138" s="209"/>
      <c r="O138" s="210"/>
    </row>
    <row r="139" spans="1:16" ht="13.5" thickTop="1" thickBot="1">
      <c r="A139" s="862"/>
      <c r="B139" s="207"/>
      <c r="C139" s="208" t="s">
        <v>90</v>
      </c>
      <c r="D139" s="326">
        <f t="shared" si="23"/>
        <v>0</v>
      </c>
      <c r="E139" s="327"/>
      <c r="F139" s="327"/>
      <c r="G139" s="327"/>
      <c r="H139" s="326"/>
      <c r="I139" s="326"/>
      <c r="J139" s="209">
        <f t="shared" si="24"/>
        <v>0</v>
      </c>
      <c r="K139" s="210"/>
      <c r="L139" s="210"/>
      <c r="M139" s="210"/>
      <c r="N139" s="209"/>
      <c r="O139" s="209"/>
    </row>
    <row r="140" spans="1:16" ht="13.5" thickTop="1" thickBot="1">
      <c r="A140" s="862"/>
      <c r="B140" s="207"/>
      <c r="C140" s="208" t="s">
        <v>91</v>
      </c>
      <c r="D140" s="326">
        <f t="shared" si="23"/>
        <v>0</v>
      </c>
      <c r="E140" s="327"/>
      <c r="F140" s="327"/>
      <c r="G140" s="327"/>
      <c r="H140" s="327"/>
      <c r="I140" s="326"/>
      <c r="J140" s="209">
        <f t="shared" si="24"/>
        <v>0</v>
      </c>
      <c r="K140" s="210"/>
      <c r="L140" s="210"/>
      <c r="M140" s="210"/>
      <c r="N140" s="210"/>
      <c r="O140" s="209"/>
    </row>
    <row r="141" spans="1:16" ht="13.5" thickTop="1" thickBot="1">
      <c r="A141" s="862"/>
      <c r="B141" s="182" t="s">
        <v>254</v>
      </c>
      <c r="C141" s="182" t="s">
        <v>97</v>
      </c>
      <c r="D141" s="324">
        <f t="shared" si="23"/>
        <v>0</v>
      </c>
      <c r="E141" s="324"/>
      <c r="F141" s="324"/>
      <c r="G141" s="324"/>
      <c r="H141" s="324"/>
      <c r="I141" s="324"/>
      <c r="J141" s="196">
        <f t="shared" si="24"/>
        <v>0</v>
      </c>
      <c r="K141" s="196"/>
      <c r="L141" s="196"/>
      <c r="M141" s="196"/>
      <c r="N141" s="185"/>
      <c r="O141" s="196"/>
    </row>
    <row r="142" spans="1:16" ht="13.5" thickTop="1" thickBot="1">
      <c r="A142" s="862"/>
      <c r="B142" s="182" t="s">
        <v>255</v>
      </c>
      <c r="C142" s="182" t="s">
        <v>99</v>
      </c>
      <c r="D142" s="324">
        <f t="shared" si="23"/>
        <v>0</v>
      </c>
      <c r="E142" s="324"/>
      <c r="F142" s="324"/>
      <c r="G142" s="324"/>
      <c r="H142" s="323"/>
      <c r="I142" s="324"/>
      <c r="J142" s="196">
        <f t="shared" si="24"/>
        <v>0</v>
      </c>
      <c r="K142" s="196"/>
      <c r="L142" s="196"/>
      <c r="M142" s="196"/>
      <c r="N142" s="196"/>
      <c r="O142" s="196"/>
    </row>
    <row r="143" spans="1:16" ht="12.75" customHeight="1" thickTop="1" thickBot="1">
      <c r="A143" s="862"/>
      <c r="B143" s="257" t="s">
        <v>100</v>
      </c>
      <c r="C143" s="257" t="s">
        <v>101</v>
      </c>
      <c r="D143" s="285">
        <f>SUM(E143:I143)</f>
        <v>285757.90000000002</v>
      </c>
      <c r="E143" s="386">
        <f>SUM(E144:E147)</f>
        <v>0</v>
      </c>
      <c r="F143" s="386">
        <f>SUM(F144:F147)</f>
        <v>89880</v>
      </c>
      <c r="G143" s="386">
        <f>SUM(G144:G147)</f>
        <v>5034</v>
      </c>
      <c r="H143" s="386">
        <f>SUM(H144:H147)</f>
        <v>65953.7</v>
      </c>
      <c r="I143" s="261">
        <f>SUM(I144:I147)</f>
        <v>124890.2</v>
      </c>
      <c r="J143" s="285">
        <f>SUM(K143:O143)</f>
        <v>246830.52300000002</v>
      </c>
      <c r="K143" s="386">
        <f>SUM(K144:K147)</f>
        <v>0</v>
      </c>
      <c r="L143" s="386">
        <f>SUM(L144:L147)</f>
        <v>92210.955000000002</v>
      </c>
      <c r="M143" s="386">
        <f>SUM(M144:M147)</f>
        <v>1830.4670000000001</v>
      </c>
      <c r="N143" s="386">
        <f>SUM(N144:N147)</f>
        <v>58496.851000000002</v>
      </c>
      <c r="O143" s="261">
        <f>SUM(O144:O147)</f>
        <v>94292.25</v>
      </c>
      <c r="P143" s="24"/>
    </row>
    <row r="144" spans="1:16" ht="12.75" customHeight="1" thickTop="1" thickBot="1">
      <c r="A144" s="862"/>
      <c r="B144" s="249" t="s">
        <v>102</v>
      </c>
      <c r="C144" s="250" t="s">
        <v>103</v>
      </c>
      <c r="D144" s="358">
        <f>SUM(E144:I144)</f>
        <v>94563.945524999988</v>
      </c>
      <c r="E144" s="252"/>
      <c r="F144" s="287"/>
      <c r="G144" s="287"/>
      <c r="H144" s="287"/>
      <c r="I144" s="288">
        <v>94563.945524999988</v>
      </c>
      <c r="J144" s="358">
        <f>SUM(K144:O144)</f>
        <v>67756.182000000001</v>
      </c>
      <c r="K144" s="252"/>
      <c r="L144" s="287"/>
      <c r="M144" s="287"/>
      <c r="N144" s="287"/>
      <c r="O144" s="288">
        <v>67756.182000000001</v>
      </c>
      <c r="P144" s="24"/>
    </row>
    <row r="145" spans="1:20" ht="12.75" customHeight="1" thickTop="1" thickBot="1">
      <c r="A145" s="862"/>
      <c r="B145" s="249" t="s">
        <v>104</v>
      </c>
      <c r="C145" s="250" t="s">
        <v>206</v>
      </c>
      <c r="D145" s="358">
        <f>SUM(E145:I145)</f>
        <v>0</v>
      </c>
      <c r="E145" s="252"/>
      <c r="F145" s="287"/>
      <c r="G145" s="287"/>
      <c r="H145" s="287"/>
      <c r="I145" s="288"/>
      <c r="J145" s="358">
        <f>SUM(K145:O145)</f>
        <v>0</v>
      </c>
      <c r="K145" s="252"/>
      <c r="L145" s="287"/>
      <c r="M145" s="287"/>
      <c r="N145" s="287"/>
      <c r="O145" s="288"/>
      <c r="P145" s="24"/>
    </row>
    <row r="146" spans="1:20" ht="12.75" customHeight="1" thickTop="1" thickBot="1">
      <c r="A146" s="862"/>
      <c r="B146" s="249" t="s">
        <v>106</v>
      </c>
      <c r="C146" s="250" t="s">
        <v>105</v>
      </c>
      <c r="D146" s="358">
        <f>SUM(E146:I146)</f>
        <v>191193.95447500004</v>
      </c>
      <c r="E146" s="289"/>
      <c r="F146" s="290">
        <v>89880</v>
      </c>
      <c r="G146" s="290">
        <v>5034</v>
      </c>
      <c r="H146" s="290">
        <v>65953.7</v>
      </c>
      <c r="I146" s="290">
        <v>30326.254475000009</v>
      </c>
      <c r="J146" s="358">
        <f>SUM(K146:O146)</f>
        <v>159094.38900000002</v>
      </c>
      <c r="K146" s="289"/>
      <c r="L146" s="290">
        <v>90543.615000000005</v>
      </c>
      <c r="M146" s="290">
        <v>1772.6090000000002</v>
      </c>
      <c r="N146" s="236">
        <v>45287.161</v>
      </c>
      <c r="O146" s="290">
        <v>21491.004000000001</v>
      </c>
      <c r="P146" s="321"/>
      <c r="Q146" s="321"/>
    </row>
    <row r="147" spans="1:20" ht="12.75" customHeight="1" thickTop="1" thickBot="1">
      <c r="A147" s="862"/>
      <c r="B147" s="249" t="s">
        <v>207</v>
      </c>
      <c r="C147" s="250" t="s">
        <v>107</v>
      </c>
      <c r="D147" s="358">
        <f>SUM(E147:I147)</f>
        <v>0</v>
      </c>
      <c r="E147" s="289"/>
      <c r="F147" s="290"/>
      <c r="G147" s="290"/>
      <c r="H147" s="290"/>
      <c r="I147" s="290"/>
      <c r="J147" s="358">
        <f>SUM(K147:O147)</f>
        <v>19979.952000000001</v>
      </c>
      <c r="K147" s="289"/>
      <c r="L147" s="290">
        <v>1667.34</v>
      </c>
      <c r="M147" s="290">
        <v>57.857999999999997</v>
      </c>
      <c r="N147" s="290">
        <v>13209.69</v>
      </c>
      <c r="O147" s="290">
        <v>5045.0640000000003</v>
      </c>
    </row>
    <row r="148" spans="1:20" ht="12.75" customHeight="1" thickTop="1" thickBot="1">
      <c r="A148" s="862"/>
      <c r="B148" s="249" t="s">
        <v>108</v>
      </c>
      <c r="C148" s="249" t="s">
        <v>208</v>
      </c>
      <c r="D148" s="291">
        <f>D150/1.18/D143</f>
        <v>1.2625659813346943</v>
      </c>
      <c r="E148" s="596"/>
      <c r="F148" s="596">
        <v>0.74473</v>
      </c>
      <c r="G148" s="596">
        <v>0.96690999999999994</v>
      </c>
      <c r="H148" s="596">
        <v>1.55636</v>
      </c>
      <c r="I148" s="596">
        <v>2.20207</v>
      </c>
      <c r="J148" s="291">
        <f>J150/1.18/J143</f>
        <v>1.2513029470427364</v>
      </c>
      <c r="K148" s="596"/>
      <c r="L148" s="596">
        <v>0.74822046924901697</v>
      </c>
      <c r="M148" s="596">
        <v>0.91660097669064766</v>
      </c>
      <c r="N148" s="596">
        <v>1.5343740792132554</v>
      </c>
      <c r="O148" s="596">
        <v>2.2157041333327903</v>
      </c>
    </row>
    <row r="149" spans="1:20" ht="12.75" customHeight="1" thickTop="1" thickBot="1">
      <c r="A149" s="862"/>
      <c r="B149" s="249" t="s">
        <v>205</v>
      </c>
      <c r="C149" s="249" t="s">
        <v>208</v>
      </c>
      <c r="D149" s="291"/>
      <c r="E149" s="289"/>
      <c r="F149" s="290"/>
      <c r="G149" s="290"/>
      <c r="H149" s="290"/>
      <c r="I149" s="598">
        <v>1.38056</v>
      </c>
      <c r="J149" s="291"/>
      <c r="K149" s="289"/>
      <c r="L149" s="290"/>
      <c r="M149" s="290"/>
      <c r="N149" s="290"/>
      <c r="O149" s="598">
        <v>1.5147880984498212</v>
      </c>
    </row>
    <row r="150" spans="1:20" ht="12.75" customHeight="1" thickTop="1" thickBot="1">
      <c r="A150" s="862"/>
      <c r="B150" s="249" t="s">
        <v>109</v>
      </c>
      <c r="C150" s="292" t="s">
        <v>110</v>
      </c>
      <c r="D150" s="285">
        <f>SUM(E150:I150)</f>
        <v>425730.08005641692</v>
      </c>
      <c r="E150" s="597">
        <f>E143*E148*1.18</f>
        <v>0</v>
      </c>
      <c r="F150" s="597">
        <f>(F143*F148-F195)*1.18</f>
        <v>66010.783725063389</v>
      </c>
      <c r="G150" s="597">
        <f>G143*G148*1.18</f>
        <v>5743.5614291999991</v>
      </c>
      <c r="H150" s="597">
        <f>H143*H148*1.18</f>
        <v>121124.28662775998</v>
      </c>
      <c r="I150" s="597">
        <f>(I148*I146+I147*I148+I149*I144+I149*I145)*1.18</f>
        <v>232851.44827439357</v>
      </c>
      <c r="J150" s="261">
        <f>SUM(K150:O150)</f>
        <v>364454.51780299994</v>
      </c>
      <c r="K150" s="261">
        <f>K143*K148*1.18</f>
        <v>0</v>
      </c>
      <c r="L150" s="285">
        <f>(L143*L148-L195)*1.18</f>
        <v>66072.409626399982</v>
      </c>
      <c r="M150" s="261">
        <f>M143*M148*1.18</f>
        <v>1979.8132511999997</v>
      </c>
      <c r="N150" s="261">
        <f>N143*N148*1.18</f>
        <v>105912.1412302</v>
      </c>
      <c r="O150" s="597">
        <f>(O148*O146+O147*O148+O149*O144+O149*O145)*1.18</f>
        <v>190490.15369519999</v>
      </c>
      <c r="Q150" s="24"/>
    </row>
    <row r="151" spans="1:20" ht="12.75" customHeight="1" thickTop="1" thickBot="1">
      <c r="A151" s="863" t="s">
        <v>111</v>
      </c>
      <c r="B151" s="220" t="s">
        <v>112</v>
      </c>
      <c r="C151" s="221" t="s">
        <v>113</v>
      </c>
      <c r="D151" s="379">
        <f>SUM(E151:I151)</f>
        <v>33750</v>
      </c>
      <c r="E151" s="222">
        <f>E44-E34-E46</f>
        <v>0</v>
      </c>
      <c r="F151" s="222">
        <f t="shared" ref="F151:I151" si="25">F44-F34-F46</f>
        <v>5800</v>
      </c>
      <c r="G151" s="222">
        <f t="shared" si="25"/>
        <v>2800</v>
      </c>
      <c r="H151" s="222">
        <f t="shared" si="25"/>
        <v>10800</v>
      </c>
      <c r="I151" s="222">
        <f t="shared" si="25"/>
        <v>14350</v>
      </c>
      <c r="J151" s="295">
        <f>SUM(K151:O151)</f>
        <v>45360.70299999998</v>
      </c>
      <c r="K151" s="222">
        <f>K44-K34-K46</f>
        <v>0</v>
      </c>
      <c r="L151" s="222">
        <f>L44-L34-L46</f>
        <v>4943.6224750000256</v>
      </c>
      <c r="M151" s="222">
        <f>M44-M34-M46</f>
        <v>2197.1659999999979</v>
      </c>
      <c r="N151" s="222">
        <f>N44-N34-N46</f>
        <v>9887.2445250000164</v>
      </c>
      <c r="O151" s="222">
        <f>O44-O34-O46</f>
        <v>28332.66999999994</v>
      </c>
    </row>
    <row r="152" spans="1:20" ht="12.75" customHeight="1" thickTop="1" thickBot="1">
      <c r="A152" s="863"/>
      <c r="B152" s="234" t="s">
        <v>114</v>
      </c>
      <c r="C152" s="179" t="s">
        <v>115</v>
      </c>
      <c r="D152" s="346">
        <f t="shared" ref="D152:J152" si="26">IF(D44=0,0,D151/D44*100)</f>
        <v>10.508780670070992</v>
      </c>
      <c r="E152" s="346">
        <f t="shared" si="26"/>
        <v>0</v>
      </c>
      <c r="F152" s="346">
        <f t="shared" si="26"/>
        <v>2.2204356647907812</v>
      </c>
      <c r="G152" s="346">
        <f t="shared" si="26"/>
        <v>3.1720137756026827</v>
      </c>
      <c r="H152" s="346">
        <f t="shared" si="26"/>
        <v>4.5197740112994351</v>
      </c>
      <c r="I152" s="346">
        <f t="shared" si="26"/>
        <v>10.253662022150769</v>
      </c>
      <c r="J152" s="346">
        <f t="shared" si="26"/>
        <v>15.442534913282158</v>
      </c>
      <c r="K152" s="346">
        <f>IF(K44=0,0,K151/K44*100)</f>
        <v>0</v>
      </c>
      <c r="L152" s="346">
        <f t="shared" ref="L152:O152" si="27">IF(L44=0,0,L151/L44*100)</f>
        <v>2.1415944058010217</v>
      </c>
      <c r="M152" s="346">
        <f t="shared" si="27"/>
        <v>3.1843913178125476</v>
      </c>
      <c r="N152" s="346">
        <f t="shared" si="27"/>
        <v>4.6202611674813809</v>
      </c>
      <c r="O152" s="346">
        <f t="shared" si="27"/>
        <v>22.930190535244574</v>
      </c>
    </row>
    <row r="153" spans="1:20" ht="12.75" customHeight="1" thickTop="1" thickBot="1">
      <c r="A153" s="863"/>
      <c r="B153" s="234" t="s">
        <v>116</v>
      </c>
      <c r="C153" s="179" t="s">
        <v>117</v>
      </c>
      <c r="D153" s="346">
        <f t="shared" ref="D153:J153" si="28">IF(D45=0,0,D151/D45*100)</f>
        <v>10.508780670070992</v>
      </c>
      <c r="E153" s="346">
        <f t="shared" si="28"/>
        <v>0</v>
      </c>
      <c r="F153" s="346">
        <f t="shared" si="28"/>
        <v>2.2204356647907812</v>
      </c>
      <c r="G153" s="346">
        <f t="shared" si="28"/>
        <v>3.2469038452618393</v>
      </c>
      <c r="H153" s="346">
        <f t="shared" si="28"/>
        <v>4.9837635444157158</v>
      </c>
      <c r="I153" s="346">
        <f t="shared" si="28"/>
        <v>10.305931763958972</v>
      </c>
      <c r="J153" s="346">
        <f t="shared" si="28"/>
        <v>15.442534913282158</v>
      </c>
      <c r="K153" s="346">
        <f>IF(K45=0,0,K151/K45*100)</f>
        <v>0</v>
      </c>
      <c r="L153" s="346">
        <f t="shared" ref="L153:O153" si="29">IF(L45=0,0,L151/L45*100)</f>
        <v>2.1415944058010212</v>
      </c>
      <c r="M153" s="346">
        <f t="shared" si="29"/>
        <v>3.1866876471699022</v>
      </c>
      <c r="N153" s="346">
        <f t="shared" si="29"/>
        <v>5.1512729461500779</v>
      </c>
      <c r="O153" s="346">
        <f t="shared" si="29"/>
        <v>23.105148610902216</v>
      </c>
      <c r="Q153" s="321"/>
      <c r="R153" s="321"/>
      <c r="S153" s="321"/>
      <c r="T153" s="321"/>
    </row>
    <row r="154" spans="1:20" ht="12.75" customHeight="1" thickTop="1" thickBot="1">
      <c r="A154" s="863"/>
      <c r="B154" s="224" t="s">
        <v>118</v>
      </c>
      <c r="C154" s="225" t="s">
        <v>209</v>
      </c>
      <c r="D154" s="451">
        <f>SUM(E154:I154)</f>
        <v>2755.0428094410086</v>
      </c>
      <c r="E154" s="442"/>
      <c r="F154" s="290">
        <f>2334.78204189916*1.18</f>
        <v>2755.0428094410086</v>
      </c>
      <c r="G154" s="442"/>
      <c r="H154" s="442"/>
      <c r="I154" s="442"/>
      <c r="J154" s="442">
        <f>SUM(K154:O154)</f>
        <v>4710.7959763999997</v>
      </c>
      <c r="K154" s="442">
        <v>0</v>
      </c>
      <c r="L154" s="452">
        <f>3992.19998*1.18</f>
        <v>4710.7959763999997</v>
      </c>
      <c r="M154" s="442">
        <v>0</v>
      </c>
      <c r="N154" s="442">
        <v>0</v>
      </c>
      <c r="O154" s="442">
        <v>0</v>
      </c>
      <c r="Q154" s="321"/>
      <c r="R154" s="321"/>
      <c r="S154" s="321"/>
      <c r="T154" s="321"/>
    </row>
    <row r="155" spans="1:20" ht="12.75" customHeight="1" thickTop="1" thickBot="1">
      <c r="A155" s="863"/>
      <c r="B155" s="227" t="s">
        <v>120</v>
      </c>
      <c r="C155" s="186" t="s">
        <v>121</v>
      </c>
      <c r="D155" s="443">
        <f>SUM(E155:I155)</f>
        <v>33750</v>
      </c>
      <c r="E155" s="448">
        <f>E151</f>
        <v>0</v>
      </c>
      <c r="F155" s="448">
        <f>F151</f>
        <v>5800</v>
      </c>
      <c r="G155" s="448">
        <f>G151</f>
        <v>2800</v>
      </c>
      <c r="H155" s="448">
        <f>H151</f>
        <v>10800</v>
      </c>
      <c r="I155" s="448">
        <f>I151</f>
        <v>14350</v>
      </c>
      <c r="J155" s="448">
        <f>SUM(K155:O155)</f>
        <v>45360.70299999998</v>
      </c>
      <c r="K155" s="448">
        <f>K151</f>
        <v>0</v>
      </c>
      <c r="L155" s="448">
        <f>L151</f>
        <v>4943.6224750000256</v>
      </c>
      <c r="M155" s="448">
        <f>M151</f>
        <v>2197.1659999999979</v>
      </c>
      <c r="N155" s="448">
        <f>N151</f>
        <v>9887.2445250000164</v>
      </c>
      <c r="O155" s="448">
        <f>O151</f>
        <v>28332.66999999994</v>
      </c>
    </row>
    <row r="156" spans="1:20" ht="12.75" customHeight="1" thickTop="1" thickBot="1">
      <c r="A156" s="863"/>
      <c r="B156" s="227" t="s">
        <v>122</v>
      </c>
      <c r="C156" s="186" t="s">
        <v>167</v>
      </c>
      <c r="D156" s="444">
        <f>D157/1.18/D155</f>
        <v>1.7613047548326175</v>
      </c>
      <c r="E156" s="341">
        <v>1.7613047548326177</v>
      </c>
      <c r="F156" s="341">
        <v>1.7613047548326177</v>
      </c>
      <c r="G156" s="341">
        <v>1.7613047548326177</v>
      </c>
      <c r="H156" s="341">
        <v>1.7613047548326177</v>
      </c>
      <c r="I156" s="341">
        <v>1.7613047548326177</v>
      </c>
      <c r="J156" s="444">
        <f>J157/1.18/J155</f>
        <v>1.6301462891789804</v>
      </c>
      <c r="K156" s="341">
        <v>1.6301462891789802</v>
      </c>
      <c r="L156" s="341">
        <v>1.6301462891789802</v>
      </c>
      <c r="M156" s="341">
        <v>1.6301462891789802</v>
      </c>
      <c r="N156" s="341">
        <v>1.6301462891789802</v>
      </c>
      <c r="O156" s="341">
        <v>1.6301462891789802</v>
      </c>
    </row>
    <row r="157" spans="1:20" ht="12.75" customHeight="1" thickTop="1" thickBot="1">
      <c r="A157" s="863"/>
      <c r="B157" s="227" t="s">
        <v>124</v>
      </c>
      <c r="C157" s="186" t="s">
        <v>168</v>
      </c>
      <c r="D157" s="443">
        <f>SUM(E157:I157)</f>
        <v>70143.961861208983</v>
      </c>
      <c r="E157" s="443">
        <f>E155*E156*1.18</f>
        <v>0</v>
      </c>
      <c r="F157" s="443">
        <f>F155*F156*1.18</f>
        <v>12054.369742074434</v>
      </c>
      <c r="G157" s="443">
        <f>G155*G156*1.18</f>
        <v>5819.3509099669682</v>
      </c>
      <c r="H157" s="443">
        <f>H155*H156*1.18</f>
        <v>22446.067795586878</v>
      </c>
      <c r="I157" s="443">
        <f>I155*I156*1.18</f>
        <v>29824.173413580713</v>
      </c>
      <c r="J157" s="448">
        <f>SUM(K157:O157)</f>
        <v>87254.606370599766</v>
      </c>
      <c r="K157" s="448">
        <f>K155*K156*1.18</f>
        <v>0</v>
      </c>
      <c r="L157" s="448">
        <f>L155*L156*1.18</f>
        <v>9509.4168426132546</v>
      </c>
      <c r="M157" s="448">
        <f>M155*M156*1.18</f>
        <v>4226.4083619000594</v>
      </c>
      <c r="N157" s="448">
        <f>N155*N156*1.18</f>
        <v>19018.832867708079</v>
      </c>
      <c r="O157" s="448">
        <f>O155*O156*1.18</f>
        <v>54499.948298378367</v>
      </c>
    </row>
    <row r="158" spans="1:20" ht="12.75" customHeight="1" thickTop="1" thickBot="1">
      <c r="A158" s="863"/>
      <c r="B158" s="229" t="s">
        <v>126</v>
      </c>
      <c r="C158" s="225" t="s">
        <v>127</v>
      </c>
      <c r="D158" s="445">
        <f>SUM(E158:I158)</f>
        <v>30030</v>
      </c>
      <c r="E158" s="451">
        <f>E160*E45</f>
        <v>0</v>
      </c>
      <c r="F158" s="451">
        <f>F160*F45/100</f>
        <v>5800</v>
      </c>
      <c r="G158" s="451">
        <f>G160*G45/100</f>
        <v>2800</v>
      </c>
      <c r="H158" s="451">
        <f>H160*H45/100</f>
        <v>10800</v>
      </c>
      <c r="I158" s="451">
        <f>I160*I45/100</f>
        <v>10630</v>
      </c>
      <c r="J158" s="442">
        <f>SUM(K158:O158)</f>
        <v>27464.56900000001</v>
      </c>
      <c r="K158" s="453">
        <v>-8.5265128291212022E-13</v>
      </c>
      <c r="L158" s="453">
        <v>4943.6220000000176</v>
      </c>
      <c r="M158" s="453">
        <v>2197.1659999999979</v>
      </c>
      <c r="N158" s="453">
        <v>9887.2449999999953</v>
      </c>
      <c r="O158" s="453">
        <v>10436.536</v>
      </c>
    </row>
    <row r="159" spans="1:20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30">IF(D44=0,0,D158/D44*100)</f>
        <v>9.3504795117698336</v>
      </c>
      <c r="E159" s="345">
        <f t="shared" si="30"/>
        <v>0</v>
      </c>
      <c r="F159" s="345">
        <f t="shared" si="30"/>
        <v>2.2204356647907812</v>
      </c>
      <c r="G159" s="345">
        <f t="shared" si="30"/>
        <v>3.1720137756026827</v>
      </c>
      <c r="H159" s="345">
        <f t="shared" si="30"/>
        <v>4.5197740112994351</v>
      </c>
      <c r="I159" s="345">
        <f t="shared" si="30"/>
        <v>7.5955698463737047</v>
      </c>
      <c r="J159" s="345">
        <f t="shared" si="30"/>
        <v>9.3499998371001265</v>
      </c>
      <c r="K159" s="345">
        <f>IF(K44=0,0,K158/K44*100)</f>
        <v>0</v>
      </c>
      <c r="L159" s="345">
        <f t="shared" si="30"/>
        <v>2.1415942000293704</v>
      </c>
      <c r="M159" s="345">
        <f t="shared" si="30"/>
        <v>3.1843913178125476</v>
      </c>
      <c r="N159" s="345">
        <f t="shared" si="30"/>
        <v>4.6202613894465543</v>
      </c>
      <c r="O159" s="345">
        <f t="shared" si="30"/>
        <v>8.4464951241072512</v>
      </c>
      <c r="P159" s="25"/>
      <c r="Q159" s="25"/>
      <c r="R159" s="25"/>
      <c r="S159" s="25"/>
    </row>
    <row r="160" spans="1:20" ht="12.75" customHeight="1" thickTop="1" thickBot="1">
      <c r="A160" s="863"/>
      <c r="B160" s="230" t="s">
        <v>130</v>
      </c>
      <c r="C160" s="225" t="s">
        <v>131</v>
      </c>
      <c r="D160" s="345">
        <f>IF(D45=0,0,D158/D45*100)</f>
        <v>9.3504795117698336</v>
      </c>
      <c r="E160" s="317">
        <v>0</v>
      </c>
      <c r="F160" s="454">
        <v>2.2204356647907812</v>
      </c>
      <c r="G160" s="454">
        <v>3.2469038452618393</v>
      </c>
      <c r="H160" s="454">
        <v>4.9837635444157158</v>
      </c>
      <c r="I160" s="454">
        <v>7.6342895227096763</v>
      </c>
      <c r="J160" s="345">
        <f>IF(J45=0,0,J158/J45*100)</f>
        <v>9.3499998371001265</v>
      </c>
      <c r="K160" s="345">
        <f>IF(K45=0,0,K158/K45*100)</f>
        <v>0</v>
      </c>
      <c r="L160" s="345">
        <f t="shared" ref="L160:O160" si="31">IF(L45=0,0,L158/L45*100)</f>
        <v>2.1415942000293704</v>
      </c>
      <c r="M160" s="345">
        <f t="shared" si="31"/>
        <v>3.1866876471699022</v>
      </c>
      <c r="N160" s="345">
        <f t="shared" si="31"/>
        <v>5.1512731936259577</v>
      </c>
      <c r="O160" s="345">
        <f t="shared" si="31"/>
        <v>8.5109421478113951</v>
      </c>
      <c r="P160" s="25"/>
      <c r="Q160" s="25"/>
      <c r="R160" s="25"/>
      <c r="S160" s="25"/>
    </row>
    <row r="161" spans="1:15" ht="12.75" customHeight="1" thickTop="1" thickBot="1">
      <c r="A161" s="863"/>
      <c r="B161" s="231" t="s">
        <v>132</v>
      </c>
      <c r="C161" s="186" t="s">
        <v>133</v>
      </c>
      <c r="D161" s="443">
        <f>SUM(E161:I161)</f>
        <v>3720</v>
      </c>
      <c r="E161" s="251">
        <f>E151-E158</f>
        <v>0</v>
      </c>
      <c r="F161" s="448">
        <f>F151-F158</f>
        <v>0</v>
      </c>
      <c r="G161" s="448">
        <f>G151-G158</f>
        <v>0</v>
      </c>
      <c r="H161" s="448">
        <f>H151-H158</f>
        <v>0</v>
      </c>
      <c r="I161" s="448">
        <f>I151-I158</f>
        <v>3720</v>
      </c>
      <c r="J161" s="448">
        <f>SUM(K161:O161)</f>
        <v>17896.133999999969</v>
      </c>
      <c r="K161" s="448">
        <f>K151-K158</f>
        <v>8.5265128291212022E-13</v>
      </c>
      <c r="L161" s="448">
        <f>L151-L158</f>
        <v>4.7500000800937414E-4</v>
      </c>
      <c r="M161" s="448">
        <f>M151-M158</f>
        <v>0</v>
      </c>
      <c r="N161" s="448">
        <f>N151-N158</f>
        <v>-4.7499997890554368E-4</v>
      </c>
      <c r="O161" s="448">
        <f>O151-O158</f>
        <v>17896.13399999994</v>
      </c>
    </row>
    <row r="162" spans="1:15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1.1583011583011582</v>
      </c>
      <c r="E162" s="347">
        <f t="shared" ref="E162:I162" si="32">IF(E44=0,0,E161/E44*100)</f>
        <v>0</v>
      </c>
      <c r="F162" s="347">
        <f t="shared" si="32"/>
        <v>0</v>
      </c>
      <c r="G162" s="347">
        <f t="shared" si="32"/>
        <v>0</v>
      </c>
      <c r="H162" s="347">
        <f t="shared" si="32"/>
        <v>0</v>
      </c>
      <c r="I162" s="347">
        <f t="shared" si="32"/>
        <v>2.658092175777063</v>
      </c>
      <c r="J162" s="347">
        <f>IF(J44=0,0,J161/J44*100)</f>
        <v>6.092535076182032</v>
      </c>
      <c r="K162" s="347">
        <f>IF(K44=0,0,K161/K44*100)</f>
        <v>0</v>
      </c>
      <c r="L162" s="347">
        <f t="shared" ref="L162:O162" si="33">IF(L44=0,0,L161/L44*100)</f>
        <v>2.0577165126435163E-7</v>
      </c>
      <c r="M162" s="347">
        <f t="shared" si="33"/>
        <v>0</v>
      </c>
      <c r="N162" s="347">
        <f t="shared" si="33"/>
        <v>-2.2196517457848092E-7</v>
      </c>
      <c r="O162" s="347">
        <f t="shared" si="33"/>
        <v>14.483695411137324</v>
      </c>
    </row>
    <row r="163" spans="1:15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1.1583011583011582</v>
      </c>
      <c r="E163" s="347">
        <f t="shared" ref="E163:O163" si="34">IF(E45=0,0,E161/E45*100)</f>
        <v>0</v>
      </c>
      <c r="F163" s="347">
        <f t="shared" si="34"/>
        <v>0</v>
      </c>
      <c r="G163" s="347">
        <f t="shared" si="34"/>
        <v>0</v>
      </c>
      <c r="H163" s="347">
        <f t="shared" si="34"/>
        <v>0</v>
      </c>
      <c r="I163" s="347">
        <f t="shared" si="34"/>
        <v>2.6716422412492942</v>
      </c>
      <c r="J163" s="347">
        <f t="shared" si="34"/>
        <v>6.092535076182032</v>
      </c>
      <c r="K163" s="347">
        <f t="shared" si="34"/>
        <v>0</v>
      </c>
      <c r="L163" s="347">
        <f t="shared" si="34"/>
        <v>2.057716512643516E-7</v>
      </c>
      <c r="M163" s="347">
        <f t="shared" si="34"/>
        <v>0</v>
      </c>
      <c r="N163" s="347">
        <f t="shared" si="34"/>
        <v>-2.4747588011716342E-7</v>
      </c>
      <c r="O163" s="347">
        <f t="shared" si="34"/>
        <v>14.594206463090821</v>
      </c>
    </row>
    <row r="164" spans="1:15">
      <c r="A164" s="94" t="s">
        <v>210</v>
      </c>
      <c r="D164" s="95"/>
      <c r="E164" s="95"/>
      <c r="F164" s="601"/>
      <c r="G164" s="601"/>
      <c r="H164" s="601"/>
      <c r="I164" s="601"/>
      <c r="J164" s="348"/>
      <c r="K164" s="348"/>
      <c r="L164" s="348"/>
      <c r="M164" s="348"/>
      <c r="N164" s="348"/>
      <c r="O164" s="348"/>
    </row>
    <row r="165" spans="1:15" ht="12.75" thickBot="1">
      <c r="D165" s="95"/>
      <c r="E165" s="93"/>
      <c r="F165" s="342"/>
      <c r="G165" s="342"/>
      <c r="H165" s="342"/>
      <c r="I165" s="342"/>
      <c r="J165" s="348"/>
      <c r="K165" s="348"/>
      <c r="L165" s="342"/>
      <c r="M165" s="342"/>
      <c r="N165" s="342"/>
      <c r="O165" s="342"/>
    </row>
    <row r="166" spans="1:15" ht="12.75" customHeight="1" thickBot="1">
      <c r="B166" s="854" t="s">
        <v>138</v>
      </c>
      <c r="C166" s="855" t="s">
        <v>139</v>
      </c>
      <c r="D166" s="842" t="s">
        <v>140</v>
      </c>
      <c r="E166" s="843"/>
      <c r="F166" s="843"/>
      <c r="G166" s="843"/>
      <c r="H166" s="843"/>
      <c r="I166" s="844"/>
      <c r="J166" s="842" t="s">
        <v>140</v>
      </c>
      <c r="K166" s="843"/>
      <c r="L166" s="843"/>
      <c r="M166" s="843"/>
      <c r="N166" s="843"/>
      <c r="O166" s="844"/>
    </row>
    <row r="167" spans="1:15">
      <c r="B167" s="854"/>
      <c r="C167" s="855"/>
      <c r="D167" s="96" t="s">
        <v>141</v>
      </c>
      <c r="E167" s="97"/>
      <c r="F167" s="97" t="s">
        <v>5</v>
      </c>
      <c r="G167" s="98" t="s">
        <v>74</v>
      </c>
      <c r="H167" s="98" t="s">
        <v>76</v>
      </c>
      <c r="I167" s="99" t="s">
        <v>8</v>
      </c>
      <c r="J167" s="96" t="s">
        <v>141</v>
      </c>
      <c r="K167" s="97"/>
      <c r="L167" s="97" t="s">
        <v>5</v>
      </c>
      <c r="M167" s="98" t="s">
        <v>74</v>
      </c>
      <c r="N167" s="98" t="s">
        <v>76</v>
      </c>
      <c r="O167" s="99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>
        <f>D174+D175+D176</f>
        <v>321160</v>
      </c>
      <c r="E169" s="35"/>
      <c r="F169" s="36">
        <f>F170+F174+F175+F176</f>
        <v>261210</v>
      </c>
      <c r="G169" s="36">
        <f>G170+G174+G175+G176</f>
        <v>86372</v>
      </c>
      <c r="H169" s="36">
        <f>H170+H174+H175+H176</f>
        <v>217510</v>
      </c>
      <c r="I169" s="37">
        <f>I170+I174+I175+I176</f>
        <v>139950</v>
      </c>
      <c r="J169" s="34">
        <f>J174+J175+J176</f>
        <v>293738.71100000001</v>
      </c>
      <c r="K169" s="35"/>
      <c r="L169" s="36">
        <f>L170+L174+L175+L176</f>
        <v>230838.40999999997</v>
      </c>
      <c r="M169" s="36">
        <f>M170+M174+M175+M176</f>
        <v>68948.269904999994</v>
      </c>
      <c r="N169" s="36">
        <f>N170+N174+N175+N176</f>
        <v>192549.74152499996</v>
      </c>
      <c r="O169" s="37">
        <f>O170+O174+O175+O176</f>
        <v>123560.55199999995</v>
      </c>
    </row>
    <row r="170" spans="1:15" ht="12.75">
      <c r="B170" s="38" t="s">
        <v>12</v>
      </c>
      <c r="C170" s="39" t="s">
        <v>143</v>
      </c>
      <c r="D170" s="675">
        <f t="shared" ref="D170:D177" si="35">SUM(F170:I170)</f>
        <v>383882</v>
      </c>
      <c r="E170" s="676"/>
      <c r="F170" s="676"/>
      <c r="G170" s="677">
        <f>SUM(G171:G173)</f>
        <v>53432</v>
      </c>
      <c r="H170" s="677">
        <f>SUM(H171:H173)</f>
        <v>190500</v>
      </c>
      <c r="I170" s="678">
        <f>SUM(I171:I173)</f>
        <v>139950</v>
      </c>
      <c r="J170" s="675">
        <f t="shared" ref="J170:J177" si="36">SUM(L170:O170)</f>
        <v>322158.26242999989</v>
      </c>
      <c r="K170" s="676"/>
      <c r="L170" s="676"/>
      <c r="M170" s="677">
        <f>SUM(M171:M173)</f>
        <v>30742.67790499999</v>
      </c>
      <c r="N170" s="677">
        <f>SUM(N171:N173)</f>
        <v>167861.79152499995</v>
      </c>
      <c r="O170" s="678">
        <f>SUM(O171:O173)</f>
        <v>123553.79299999995</v>
      </c>
    </row>
    <row r="171" spans="1:15" ht="12.75">
      <c r="B171" s="40" t="s">
        <v>144</v>
      </c>
      <c r="C171" s="41" t="s">
        <v>145</v>
      </c>
      <c r="D171" s="42">
        <f t="shared" si="35"/>
        <v>165530</v>
      </c>
      <c r="E171" s="43"/>
      <c r="F171" s="44"/>
      <c r="G171" s="45">
        <f>G31-G49-G61-G73-G85-G97-G78-G109-G121-G54-G66-G90-G102-G114-G126</f>
        <v>53432</v>
      </c>
      <c r="H171" s="45">
        <f>H31-H49-H61-H73-H85-H97-H78-H54-H109-H66-H90-H102-H114-H121-H126</f>
        <v>112097.99999999999</v>
      </c>
      <c r="I171" s="46"/>
      <c r="J171" s="42">
        <f t="shared" si="36"/>
        <v>133683.83252499995</v>
      </c>
      <c r="K171" s="43"/>
      <c r="L171" s="44"/>
      <c r="M171" s="45">
        <f>M31-M49-M61-M73-M85-M97-M78-M109-M121-M54-M66-M90-M102-M114-M126</f>
        <v>30742.67790499999</v>
      </c>
      <c r="N171" s="45">
        <f>N31-N49-N61-N73-N85-N97-N78-N54-N109-N66-N90-N102-N114-N121-N126</f>
        <v>102941.15461999996</v>
      </c>
      <c r="O171" s="46"/>
    </row>
    <row r="172" spans="1:15" ht="12.75">
      <c r="B172" s="47" t="s">
        <v>146</v>
      </c>
      <c r="C172" s="48" t="s">
        <v>6</v>
      </c>
      <c r="D172" s="42">
        <f t="shared" si="35"/>
        <v>78402</v>
      </c>
      <c r="E172" s="43"/>
      <c r="F172" s="44"/>
      <c r="G172" s="49"/>
      <c r="H172" s="45">
        <f>H32-H50-H62-H74-H86-H98-H110-H55-H67-H79-H91-H103-H115-H122-H127</f>
        <v>78402</v>
      </c>
      <c r="I172" s="50">
        <f>I32-I50-I55-I62-I67-I74-I79-I86-I91-I98-I103-I110-I115-I122-I127</f>
        <v>0</v>
      </c>
      <c r="J172" s="42">
        <f t="shared" si="36"/>
        <v>64920.636904999999</v>
      </c>
      <c r="K172" s="43"/>
      <c r="L172" s="44"/>
      <c r="M172" s="49"/>
      <c r="N172" s="45">
        <f>N32-N50-N62-N74-N86-N98-N110-N55-N67-N79-N91-N103-N115-N122-N127</f>
        <v>64920.636904999999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>
        <f t="shared" si="35"/>
        <v>139950</v>
      </c>
      <c r="E173" s="54"/>
      <c r="F173" s="55"/>
      <c r="G173" s="56"/>
      <c r="H173" s="56"/>
      <c r="I173" s="57">
        <f>I33-I51-I87-I75-I99-I111-I56-I63-I68-I80-I92-I104-I116-I123-I128</f>
        <v>139950</v>
      </c>
      <c r="J173" s="53">
        <f t="shared" si="36"/>
        <v>123553.79299999995</v>
      </c>
      <c r="K173" s="54"/>
      <c r="L173" s="55"/>
      <c r="M173" s="56"/>
      <c r="N173" s="56"/>
      <c r="O173" s="57">
        <f>O33-O51-O87-O75-O99-O111-O56-O63-O68-O80-O92-O104-O116-O123-O128</f>
        <v>123553.79299999995</v>
      </c>
    </row>
    <row r="174" spans="1:15" ht="12.75">
      <c r="B174" s="58" t="s">
        <v>14</v>
      </c>
      <c r="C174" s="39" t="s">
        <v>148</v>
      </c>
      <c r="D174" s="110">
        <f t="shared" si="35"/>
        <v>154950</v>
      </c>
      <c r="E174" s="111"/>
      <c r="F174" s="111">
        <f>F28+E28</f>
        <v>129770</v>
      </c>
      <c r="G174" s="112">
        <f>G28</f>
        <v>21230</v>
      </c>
      <c r="H174" s="112">
        <f>H28</f>
        <v>3950</v>
      </c>
      <c r="I174" s="113">
        <f>I28</f>
        <v>0</v>
      </c>
      <c r="J174" s="110">
        <f t="shared" si="36"/>
        <v>254364.61799999999</v>
      </c>
      <c r="K174" s="111"/>
      <c r="L174" s="111">
        <f>L28+K28</f>
        <v>224317.052</v>
      </c>
      <c r="M174" s="112">
        <f>M28</f>
        <v>27039.286</v>
      </c>
      <c r="N174" s="112">
        <f>N28</f>
        <v>3008.28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>
        <f t="shared" si="35"/>
        <v>166210</v>
      </c>
      <c r="E175" s="124"/>
      <c r="F175" s="125">
        <f>F23+F24+F25+E23+E24+E25</f>
        <v>131440</v>
      </c>
      <c r="G175" s="125">
        <f>G23+G24+G25</f>
        <v>11710</v>
      </c>
      <c r="H175" s="125">
        <f>H23+H24+H25</f>
        <v>23060</v>
      </c>
      <c r="I175" s="126">
        <f>I23+I24+I25</f>
        <v>0</v>
      </c>
      <c r="J175" s="123">
        <f t="shared" si="36"/>
        <v>39374.092999999993</v>
      </c>
      <c r="K175" s="124"/>
      <c r="L175" s="125">
        <f>L23+L24+L25+K23+K24+K25</f>
        <v>6521.357999999992</v>
      </c>
      <c r="M175" s="125">
        <f>M23+M24+M25</f>
        <v>11166.306</v>
      </c>
      <c r="N175" s="125">
        <f>N23+N24+N25</f>
        <v>21679.670000000002</v>
      </c>
      <c r="O175" s="126">
        <f>O23+O24+O25</f>
        <v>6.7590000000000012</v>
      </c>
    </row>
    <row r="176" spans="1:15" ht="13.5" thickBot="1">
      <c r="B176" s="61" t="s">
        <v>20</v>
      </c>
      <c r="C176" s="62" t="s">
        <v>150</v>
      </c>
      <c r="D176" s="129">
        <f t="shared" si="35"/>
        <v>0</v>
      </c>
      <c r="E176" s="130"/>
      <c r="F176" s="131">
        <f>F29+E29</f>
        <v>0</v>
      </c>
      <c r="G176" s="131">
        <f>G29</f>
        <v>0</v>
      </c>
      <c r="H176" s="131">
        <f>H29</f>
        <v>0</v>
      </c>
      <c r="I176" s="132">
        <f>I29</f>
        <v>0</v>
      </c>
      <c r="J176" s="129">
        <f t="shared" si="36"/>
        <v>0</v>
      </c>
      <c r="K176" s="130"/>
      <c r="L176" s="131">
        <f>L29+K29</f>
        <v>0</v>
      </c>
      <c r="M176" s="131">
        <f>M29</f>
        <v>0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35"/>
        <v>33750.000000000015</v>
      </c>
      <c r="E177" s="136"/>
      <c r="F177" s="136">
        <f>F169-F180-G171-H171</f>
        <v>5800.0000000000146</v>
      </c>
      <c r="G177" s="136">
        <f>G169-G180-H172-I172</f>
        <v>2800</v>
      </c>
      <c r="H177" s="136">
        <f>H169-H180-I173</f>
        <v>10800</v>
      </c>
      <c r="I177" s="137">
        <f>I169-I180</f>
        <v>14350</v>
      </c>
      <c r="J177" s="135">
        <f t="shared" si="36"/>
        <v>45360.702999999972</v>
      </c>
      <c r="K177" s="136"/>
      <c r="L177" s="136">
        <f>L169-L180-M171-N171</f>
        <v>4943.622475000011</v>
      </c>
      <c r="M177" s="136">
        <f>M169-M180-N172-O172</f>
        <v>2197.1659999999902</v>
      </c>
      <c r="N177" s="136">
        <f>N169-N180-O173</f>
        <v>9887.2445250000164</v>
      </c>
      <c r="O177" s="137">
        <f>O169-O180</f>
        <v>28332.669999999955</v>
      </c>
    </row>
    <row r="178" spans="1:15" ht="13.5" thickBot="1">
      <c r="B178" s="64"/>
      <c r="C178" s="65" t="s">
        <v>152</v>
      </c>
      <c r="D178" s="441">
        <f>IF(D169=0,0,D177/D169*100)</f>
        <v>10.508780670070998</v>
      </c>
      <c r="E178" s="140"/>
      <c r="F178" s="441">
        <f t="shared" ref="F178:I178" si="37">IF(F169=0,0,F177/F169*100)</f>
        <v>2.2204356647907866</v>
      </c>
      <c r="G178" s="441">
        <f t="shared" si="37"/>
        <v>3.2417913212615201</v>
      </c>
      <c r="H178" s="441">
        <f t="shared" si="37"/>
        <v>4.9652889522320809</v>
      </c>
      <c r="I178" s="441">
        <f t="shared" si="37"/>
        <v>10.253662022150769</v>
      </c>
      <c r="J178" s="441">
        <f>IF(J169=0,0,J177/J169*100)</f>
        <v>15.442534913282154</v>
      </c>
      <c r="K178" s="140"/>
      <c r="L178" s="441">
        <f t="shared" ref="L178:O178" si="38">IF(L169=0,0,L177/L169*100)</f>
        <v>2.1415944058010155</v>
      </c>
      <c r="M178" s="441">
        <f t="shared" si="38"/>
        <v>3.1866876471698906</v>
      </c>
      <c r="N178" s="441">
        <f t="shared" si="38"/>
        <v>5.1349040755353554</v>
      </c>
      <c r="O178" s="441">
        <f t="shared" si="38"/>
        <v>22.930190535244584</v>
      </c>
    </row>
    <row r="179" spans="1:15" ht="26.25" thickBot="1">
      <c r="B179" s="66" t="s">
        <v>38</v>
      </c>
      <c r="C179" s="67" t="s">
        <v>153</v>
      </c>
      <c r="D179" s="143">
        <f t="shared" ref="D179:D184" si="39">SUM(F179:I179)</f>
        <v>0</v>
      </c>
      <c r="E179" s="144"/>
      <c r="F179" s="144"/>
      <c r="G179" s="145"/>
      <c r="H179" s="145"/>
      <c r="I179" s="146"/>
      <c r="J179" s="143">
        <f t="shared" ref="J179:J184" si="40">SUM(L179:O179)</f>
        <v>0</v>
      </c>
      <c r="K179" s="144"/>
      <c r="L179" s="144"/>
      <c r="M179" s="145"/>
      <c r="N179" s="145"/>
      <c r="O179" s="146"/>
    </row>
    <row r="180" spans="1:15" s="83" customFormat="1" ht="13.5" thickBot="1">
      <c r="B180" s="147" t="s">
        <v>52</v>
      </c>
      <c r="C180" s="148" t="s">
        <v>154</v>
      </c>
      <c r="D180" s="143">
        <f t="shared" si="39"/>
        <v>287410</v>
      </c>
      <c r="E180" s="144"/>
      <c r="F180" s="682">
        <f>F143+E143</f>
        <v>89880</v>
      </c>
      <c r="G180" s="682">
        <f>G143+G194</f>
        <v>5170</v>
      </c>
      <c r="H180" s="682">
        <f>H143+H194</f>
        <v>66760</v>
      </c>
      <c r="I180" s="683">
        <f>I143+I194</f>
        <v>125600</v>
      </c>
      <c r="J180" s="143">
        <f t="shared" si="40"/>
        <v>248378.00800000003</v>
      </c>
      <c r="K180" s="144"/>
      <c r="L180" s="682">
        <f>L143+K143</f>
        <v>92210.955000000002</v>
      </c>
      <c r="M180" s="682">
        <f>M143+M194</f>
        <v>1830.4670000000001</v>
      </c>
      <c r="N180" s="682">
        <f>N143+N194</f>
        <v>59108.704000000005</v>
      </c>
      <c r="O180" s="683">
        <f>O143+O194</f>
        <v>95227.881999999998</v>
      </c>
    </row>
    <row r="181" spans="1:15" ht="12.75">
      <c r="B181" s="70" t="s">
        <v>54</v>
      </c>
      <c r="C181" s="71" t="s">
        <v>155</v>
      </c>
      <c r="D181" s="151">
        <f t="shared" si="39"/>
        <v>0</v>
      </c>
      <c r="E181" s="152"/>
      <c r="F181" s="152"/>
      <c r="G181" s="153"/>
      <c r="H181" s="153"/>
      <c r="I181" s="154"/>
      <c r="J181" s="151">
        <f t="shared" si="40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9"/>
        <v>0</v>
      </c>
      <c r="E182" s="158"/>
      <c r="F182" s="159"/>
      <c r="G182" s="159"/>
      <c r="H182" s="159"/>
      <c r="I182" s="160"/>
      <c r="J182" s="157">
        <f t="shared" si="40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9"/>
        <v>0</v>
      </c>
      <c r="E183" s="164"/>
      <c r="F183" s="164"/>
      <c r="G183" s="165"/>
      <c r="H183" s="165"/>
      <c r="I183" s="166"/>
      <c r="J183" s="163">
        <f t="shared" si="40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9"/>
        <v>0</v>
      </c>
      <c r="E184" s="111"/>
      <c r="F184" s="111"/>
      <c r="G184" s="112"/>
      <c r="H184" s="112"/>
      <c r="I184" s="113"/>
      <c r="J184" s="110">
        <f t="shared" si="40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8" spans="1:15" ht="12.75" customHeight="1">
      <c r="A188" s="832" t="s">
        <v>211</v>
      </c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523"/>
      <c r="B194" s="524"/>
      <c r="C194" s="523" t="s">
        <v>193</v>
      </c>
      <c r="D194" s="523"/>
      <c r="E194" s="523"/>
      <c r="F194" s="523"/>
      <c r="G194" s="523">
        <v>136</v>
      </c>
      <c r="H194" s="523">
        <v>806.3</v>
      </c>
      <c r="I194" s="523">
        <v>709.8</v>
      </c>
      <c r="J194" s="523"/>
      <c r="K194" s="523"/>
      <c r="L194" s="523"/>
      <c r="M194" s="523"/>
      <c r="N194" s="523">
        <v>611.85299999999995</v>
      </c>
      <c r="O194" s="523">
        <v>935.63199999999995</v>
      </c>
    </row>
    <row r="195" spans="1:15">
      <c r="A195" s="523"/>
      <c r="B195" s="524"/>
      <c r="C195" s="523" t="s">
        <v>196</v>
      </c>
      <c r="D195" s="523"/>
      <c r="E195" s="523"/>
      <c r="F195" s="527">
        <v>10994.990260115774</v>
      </c>
      <c r="G195" s="523"/>
      <c r="H195" s="523"/>
      <c r="I195" s="523"/>
      <c r="J195" s="523"/>
      <c r="K195" s="523"/>
      <c r="L195" s="527">
        <v>13000.556540000001</v>
      </c>
      <c r="M195" s="523"/>
      <c r="N195" s="523"/>
      <c r="O195" s="523"/>
    </row>
    <row r="198" spans="1:15">
      <c r="L198" s="701"/>
      <c r="M198" s="701"/>
      <c r="N198" s="701"/>
      <c r="O198" s="701"/>
    </row>
    <row r="199" spans="1:15">
      <c r="N199" s="24"/>
      <c r="O199" s="24"/>
    </row>
  </sheetData>
  <mergeCells count="25"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  <mergeCell ref="A6:A29"/>
    <mergeCell ref="A30:A43"/>
    <mergeCell ref="I4:I5"/>
    <mergeCell ref="J4:J5"/>
    <mergeCell ref="K4:L4"/>
    <mergeCell ref="A188:O188"/>
    <mergeCell ref="D166:I166"/>
    <mergeCell ref="J166:O166"/>
    <mergeCell ref="A46:A150"/>
    <mergeCell ref="A151:A163"/>
    <mergeCell ref="B166:B167"/>
    <mergeCell ref="C166:C167"/>
  </mergeCells>
  <phoneticPr fontId="0" type="noConversion"/>
  <pageMargins left="0.6692913385826772" right="0.27559055118110237" top="0.55118110236220474" bottom="0.35433070866141736" header="0.51181102362204722" footer="0.51181102362204722"/>
  <pageSetup paperSize="9" scale="63" firstPageNumber="0" orientation="landscape" horizontalDpi="300" verticalDpi="300" r:id="rId1"/>
  <headerFooter alignWithMargins="0"/>
  <rowBreaks count="2" manualBreakCount="2">
    <brk id="64" max="14" man="1"/>
    <brk id="127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195"/>
  <sheetViews>
    <sheetView view="pageBreakPreview" zoomScale="90" zoomScaleSheetLayoutView="90" workbookViewId="0">
      <pane xSplit="3" ySplit="5" topLeftCell="D133" activePane="bottomRight" state="frozen"/>
      <selection pane="topRight" activeCell="D1" sqref="D1"/>
      <selection pane="bottomLeft" activeCell="A63" sqref="A63"/>
      <selection pane="bottomRight" activeCell="O148" sqref="O148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3.28515625" style="1" customWidth="1"/>
    <col min="5" max="5" width="8.85546875" style="1" customWidth="1"/>
    <col min="6" max="6" width="12.5703125" style="1" customWidth="1"/>
    <col min="7" max="7" width="12.28515625" style="1" customWidth="1"/>
    <col min="8" max="8" width="13.28515625" style="1" customWidth="1"/>
    <col min="9" max="9" width="13.42578125" style="1" customWidth="1"/>
    <col min="10" max="10" width="12.5703125" style="1" customWidth="1"/>
    <col min="11" max="11" width="8.140625" style="1" customWidth="1"/>
    <col min="12" max="12" width="12.42578125" style="1" customWidth="1"/>
    <col min="13" max="13" width="11.140625" style="1" customWidth="1"/>
    <col min="14" max="14" width="12.42578125" style="1" customWidth="1"/>
    <col min="15" max="15" width="12.85546875" style="1" customWidth="1"/>
    <col min="16" max="16" width="16.140625" style="1" customWidth="1"/>
    <col min="17" max="17" width="10" style="1" customWidth="1"/>
    <col min="18" max="16384" width="9.140625" style="1"/>
  </cols>
  <sheetData>
    <row r="1" spans="1:15" ht="15.75">
      <c r="A1" s="817" t="s">
        <v>230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" customHeight="1" thickBot="1">
      <c r="A3" s="856"/>
      <c r="B3" s="857" t="s">
        <v>0</v>
      </c>
      <c r="C3" s="858" t="s">
        <v>1</v>
      </c>
      <c r="D3" s="824" t="s">
        <v>2</v>
      </c>
      <c r="E3" s="825"/>
      <c r="F3" s="825"/>
      <c r="G3" s="825"/>
      <c r="H3" s="825"/>
      <c r="I3" s="826"/>
      <c r="J3" s="827" t="s">
        <v>3</v>
      </c>
      <c r="K3" s="828"/>
      <c r="L3" s="828"/>
      <c r="M3" s="828"/>
      <c r="N3" s="828"/>
      <c r="O3" s="829"/>
    </row>
    <row r="4" spans="1:15" s="3" customFormat="1" ht="12.75" customHeight="1" thickTop="1" thickBot="1">
      <c r="A4" s="856"/>
      <c r="B4" s="857"/>
      <c r="C4" s="858"/>
      <c r="D4" s="830" t="s">
        <v>4</v>
      </c>
      <c r="E4" s="835" t="s">
        <v>5</v>
      </c>
      <c r="F4" s="835"/>
      <c r="G4" s="835" t="s">
        <v>6</v>
      </c>
      <c r="H4" s="835" t="s">
        <v>7</v>
      </c>
      <c r="I4" s="820" t="s">
        <v>8</v>
      </c>
      <c r="J4" s="831" t="s">
        <v>4</v>
      </c>
      <c r="K4" s="833" t="s">
        <v>5</v>
      </c>
      <c r="L4" s="834"/>
      <c r="M4" s="818" t="s">
        <v>6</v>
      </c>
      <c r="N4" s="818" t="s">
        <v>7</v>
      </c>
      <c r="O4" s="820" t="s">
        <v>8</v>
      </c>
    </row>
    <row r="5" spans="1:15" s="6" customFormat="1" ht="13.5" thickTop="1" thickBot="1">
      <c r="A5" s="856"/>
      <c r="B5" s="857"/>
      <c r="C5" s="858"/>
      <c r="D5" s="831"/>
      <c r="E5" s="86">
        <v>220</v>
      </c>
      <c r="F5" s="86">
        <v>110</v>
      </c>
      <c r="G5" s="818"/>
      <c r="H5" s="818"/>
      <c r="I5" s="846"/>
      <c r="J5" s="845"/>
      <c r="K5" s="87">
        <v>220</v>
      </c>
      <c r="L5" s="242">
        <v>110</v>
      </c>
      <c r="M5" s="819"/>
      <c r="N5" s="819"/>
      <c r="O5" s="821"/>
    </row>
    <row r="6" spans="1:15" ht="13.5" thickTop="1" thickBot="1">
      <c r="A6" s="862" t="s">
        <v>9</v>
      </c>
      <c r="B6" s="179" t="s">
        <v>10</v>
      </c>
      <c r="C6" s="179" t="s">
        <v>11</v>
      </c>
      <c r="D6" s="352">
        <f t="shared" ref="D6:O6" si="0">SUM(D7:D9,D12,D14)</f>
        <v>3450050</v>
      </c>
      <c r="E6" s="353">
        <f t="shared" si="0"/>
        <v>0</v>
      </c>
      <c r="F6" s="353">
        <f t="shared" si="0"/>
        <v>2802830</v>
      </c>
      <c r="G6" s="353">
        <f t="shared" si="0"/>
        <v>393920</v>
      </c>
      <c r="H6" s="353">
        <f t="shared" si="0"/>
        <v>253220</v>
      </c>
      <c r="I6" s="353">
        <f t="shared" si="0"/>
        <v>80</v>
      </c>
      <c r="J6" s="244">
        <f t="shared" si="0"/>
        <v>3474182.8110000002</v>
      </c>
      <c r="K6" s="245">
        <f t="shared" si="0"/>
        <v>0</v>
      </c>
      <c r="L6" s="245">
        <f t="shared" si="0"/>
        <v>2914603.41</v>
      </c>
      <c r="M6" s="245">
        <f t="shared" si="0"/>
        <v>323288.39199999993</v>
      </c>
      <c r="N6" s="245">
        <f t="shared" si="0"/>
        <v>236228.78400000001</v>
      </c>
      <c r="O6" s="245">
        <f t="shared" si="0"/>
        <v>62.224999999999994</v>
      </c>
    </row>
    <row r="7" spans="1:15" ht="13.5" thickTop="1" thickBot="1">
      <c r="A7" s="862"/>
      <c r="B7" s="182" t="s">
        <v>12</v>
      </c>
      <c r="C7" s="182" t="s">
        <v>13</v>
      </c>
      <c r="D7" s="354">
        <f>SUM(E7:I7)</f>
        <v>0</v>
      </c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247">
        <f>SUM(K7:O7)</f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</row>
    <row r="8" spans="1:15" ht="13.5" thickTop="1" thickBot="1">
      <c r="A8" s="862"/>
      <c r="B8" s="182" t="s">
        <v>14</v>
      </c>
      <c r="C8" s="182" t="s">
        <v>15</v>
      </c>
      <c r="D8" s="354">
        <f>SUM(E8:I8)</f>
        <v>1750555</v>
      </c>
      <c r="E8" s="356">
        <f>'7 месяцев'!E8+август!E8</f>
        <v>0</v>
      </c>
      <c r="F8" s="356">
        <f>'7 месяцев'!F8+август!F8</f>
        <v>1409915</v>
      </c>
      <c r="G8" s="356">
        <f>'7 месяцев'!G8+август!G8</f>
        <v>113230</v>
      </c>
      <c r="H8" s="356">
        <f>'7 месяцев'!H8+август!H8</f>
        <v>227330</v>
      </c>
      <c r="I8" s="356">
        <f>'7 месяцев'!I8+август!I8</f>
        <v>80</v>
      </c>
      <c r="J8" s="247">
        <f>SUM(K8:O8)</f>
        <v>1464184.196</v>
      </c>
      <c r="K8" s="356">
        <f>'7 месяцев'!K8+август!K8</f>
        <v>0</v>
      </c>
      <c r="L8" s="356">
        <f>'7 месяцев'!L8+август!L8</f>
        <v>1147676.5389999999</v>
      </c>
      <c r="M8" s="356">
        <f>'7 месяцев'!M8+август!M8</f>
        <v>102820.45399999998</v>
      </c>
      <c r="N8" s="356">
        <f>'7 месяцев'!N8+август!N8</f>
        <v>213624.978</v>
      </c>
      <c r="O8" s="356">
        <f>'7 месяцев'!O8+август!O8</f>
        <v>62.224999999999994</v>
      </c>
    </row>
    <row r="9" spans="1:15" ht="13.5" thickTop="1" thickBot="1">
      <c r="A9" s="862"/>
      <c r="B9" s="182" t="s">
        <v>16</v>
      </c>
      <c r="C9" s="182" t="s">
        <v>17</v>
      </c>
      <c r="D9" s="354">
        <f t="shared" ref="D9:O9" si="1">SUM(D10:D11)</f>
        <v>102370</v>
      </c>
      <c r="E9" s="355">
        <f t="shared" si="1"/>
        <v>0</v>
      </c>
      <c r="F9" s="355">
        <f t="shared" si="1"/>
        <v>102370</v>
      </c>
      <c r="G9" s="355">
        <f t="shared" si="1"/>
        <v>0</v>
      </c>
      <c r="H9" s="355">
        <f t="shared" si="1"/>
        <v>0</v>
      </c>
      <c r="I9" s="355">
        <f t="shared" si="1"/>
        <v>0</v>
      </c>
      <c r="J9" s="247">
        <f t="shared" si="1"/>
        <v>72741.654999999999</v>
      </c>
      <c r="K9" s="248">
        <f t="shared" si="1"/>
        <v>0</v>
      </c>
      <c r="L9" s="248">
        <f t="shared" si="1"/>
        <v>72741.654999999999</v>
      </c>
      <c r="M9" s="248">
        <f t="shared" si="1"/>
        <v>0</v>
      </c>
      <c r="N9" s="248">
        <f t="shared" si="1"/>
        <v>0</v>
      </c>
      <c r="O9" s="248">
        <f t="shared" si="1"/>
        <v>0</v>
      </c>
    </row>
    <row r="10" spans="1:15" ht="13.5" thickTop="1" thickBot="1">
      <c r="A10" s="862"/>
      <c r="B10" s="186" t="s">
        <v>18</v>
      </c>
      <c r="C10" s="187" t="s">
        <v>162</v>
      </c>
      <c r="D10" s="357">
        <f>SUM(F10:I10)</f>
        <v>89490</v>
      </c>
      <c r="E10" s="358"/>
      <c r="F10" s="356">
        <f>'7 месяцев'!F10+август!F10</f>
        <v>89490</v>
      </c>
      <c r="G10" s="358"/>
      <c r="H10" s="358"/>
      <c r="I10" s="358"/>
      <c r="J10" s="251">
        <f>SUM(L10:O10)</f>
        <v>64068.462999999996</v>
      </c>
      <c r="K10" s="252"/>
      <c r="L10" s="356">
        <f>'7 месяцев'!L10+август!L10</f>
        <v>64068.462999999996</v>
      </c>
      <c r="M10" s="252"/>
      <c r="N10" s="252"/>
      <c r="O10" s="252"/>
    </row>
    <row r="11" spans="1:15" ht="13.5" thickTop="1" thickBot="1">
      <c r="A11" s="862"/>
      <c r="B11" s="186" t="s">
        <v>19</v>
      </c>
      <c r="C11" s="187" t="s">
        <v>163</v>
      </c>
      <c r="D11" s="357">
        <f>SUM(F11:I11)</f>
        <v>12880</v>
      </c>
      <c r="E11" s="358"/>
      <c r="F11" s="356">
        <f>'7 месяцев'!F11+август!F11</f>
        <v>12880</v>
      </c>
      <c r="G11" s="358"/>
      <c r="H11" s="358"/>
      <c r="I11" s="358"/>
      <c r="J11" s="251">
        <f>SUM(L11:O11)</f>
        <v>8673.1920000000009</v>
      </c>
      <c r="K11" s="252"/>
      <c r="L11" s="356">
        <f>'7 месяцев'!L11+август!L11</f>
        <v>8673.1920000000009</v>
      </c>
      <c r="M11" s="252"/>
      <c r="N11" s="252"/>
      <c r="O11" s="252"/>
    </row>
    <row r="12" spans="1:15" ht="13.5" thickTop="1" thickBot="1">
      <c r="A12" s="862"/>
      <c r="B12" s="182" t="s">
        <v>20</v>
      </c>
      <c r="C12" s="182" t="s">
        <v>21</v>
      </c>
      <c r="D12" s="354">
        <f>SUM(E12:I12)</f>
        <v>1586625</v>
      </c>
      <c r="E12" s="355"/>
      <c r="F12" s="356">
        <f>'7 месяцев'!F12+август!F12</f>
        <v>1290545</v>
      </c>
      <c r="G12" s="356">
        <f>'7 месяцев'!G12+август!G12</f>
        <v>270190</v>
      </c>
      <c r="H12" s="356">
        <f>'7 месяцев'!H12+август!H12</f>
        <v>25890</v>
      </c>
      <c r="I12" s="355"/>
      <c r="J12" s="247">
        <f>SUM(K12:O12)</f>
        <v>1935481.1600000004</v>
      </c>
      <c r="K12" s="248"/>
      <c r="L12" s="356">
        <f>'7 месяцев'!L12+август!L12</f>
        <v>1694185.2160000002</v>
      </c>
      <c r="M12" s="356">
        <f>'7 месяцев'!M12+август!M12</f>
        <v>218692.13799999998</v>
      </c>
      <c r="N12" s="356">
        <f>'7 месяцев'!N12+август!N12</f>
        <v>22603.806</v>
      </c>
      <c r="O12" s="248"/>
    </row>
    <row r="13" spans="1:15" ht="13.5" thickTop="1" thickBot="1">
      <c r="A13" s="862"/>
      <c r="B13" s="186" t="s">
        <v>22</v>
      </c>
      <c r="C13" s="187" t="s">
        <v>23</v>
      </c>
      <c r="D13" s="354">
        <f>SUM(E13:I13)</f>
        <v>25890</v>
      </c>
      <c r="E13" s="355"/>
      <c r="F13" s="358"/>
      <c r="G13" s="358"/>
      <c r="H13" s="358">
        <f>H12</f>
        <v>25890</v>
      </c>
      <c r="I13" s="358"/>
      <c r="J13" s="247">
        <f>SUM(K13:O13)</f>
        <v>22603.806</v>
      </c>
      <c r="K13" s="248"/>
      <c r="L13" s="252"/>
      <c r="M13" s="252"/>
      <c r="N13" s="358">
        <f>N12</f>
        <v>22603.806</v>
      </c>
      <c r="O13" s="252"/>
    </row>
    <row r="14" spans="1:15" ht="13.5" thickTop="1" thickBot="1">
      <c r="A14" s="862"/>
      <c r="B14" s="182" t="s">
        <v>24</v>
      </c>
      <c r="C14" s="182" t="s">
        <v>25</v>
      </c>
      <c r="D14" s="354">
        <f>SUM(E14:I14)</f>
        <v>10500</v>
      </c>
      <c r="E14" s="355"/>
      <c r="F14" s="355"/>
      <c r="G14" s="356">
        <f>'7 месяцев'!G14+август!G14</f>
        <v>10500</v>
      </c>
      <c r="H14" s="355"/>
      <c r="I14" s="355"/>
      <c r="J14" s="247">
        <f>SUM(K14:O14)</f>
        <v>1775.7999999999993</v>
      </c>
      <c r="K14" s="248"/>
      <c r="L14" s="248"/>
      <c r="M14" s="356">
        <f>'7 месяцев'!M14+август!M14</f>
        <v>1775.7999999999993</v>
      </c>
      <c r="N14" s="248"/>
      <c r="O14" s="248"/>
    </row>
    <row r="15" spans="1:15" ht="13.5" thickTop="1" thickBot="1">
      <c r="A15" s="862"/>
      <c r="B15" s="179" t="s">
        <v>26</v>
      </c>
      <c r="C15" s="179" t="s">
        <v>27</v>
      </c>
      <c r="D15" s="352">
        <f t="shared" ref="D15:O15" si="2">SUM(D16:D18,D21)</f>
        <v>759130</v>
      </c>
      <c r="E15" s="359">
        <f t="shared" si="2"/>
        <v>0</v>
      </c>
      <c r="F15" s="359">
        <f t="shared" si="2"/>
        <v>754360</v>
      </c>
      <c r="G15" s="359">
        <f t="shared" si="2"/>
        <v>4450</v>
      </c>
      <c r="H15" s="359">
        <f t="shared" si="2"/>
        <v>120</v>
      </c>
      <c r="I15" s="359">
        <f t="shared" si="2"/>
        <v>200</v>
      </c>
      <c r="J15" s="244">
        <f t="shared" si="2"/>
        <v>933708.99</v>
      </c>
      <c r="K15" s="253">
        <f t="shared" si="2"/>
        <v>0</v>
      </c>
      <c r="L15" s="253">
        <f t="shared" si="2"/>
        <v>931114.25</v>
      </c>
      <c r="M15" s="253">
        <f t="shared" si="2"/>
        <v>2278.1289999999999</v>
      </c>
      <c r="N15" s="253">
        <f t="shared" si="2"/>
        <v>173.24700000000001</v>
      </c>
      <c r="O15" s="253">
        <f t="shared" si="2"/>
        <v>143.364</v>
      </c>
    </row>
    <row r="16" spans="1:15" ht="13.5" thickTop="1" thickBot="1">
      <c r="A16" s="862"/>
      <c r="B16" s="182" t="s">
        <v>28</v>
      </c>
      <c r="C16" s="182" t="s">
        <v>29</v>
      </c>
      <c r="D16" s="354">
        <f>SUM(E16:I16)</f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247">
        <f>SUM(K16:O16)</f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</row>
    <row r="17" spans="1:15" ht="13.5" thickTop="1" thickBot="1">
      <c r="A17" s="862"/>
      <c r="B17" s="182" t="s">
        <v>30</v>
      </c>
      <c r="C17" s="182" t="s">
        <v>31</v>
      </c>
      <c r="D17" s="354">
        <f>SUM(E17:I17)</f>
        <v>701500</v>
      </c>
      <c r="E17" s="356">
        <f>'7 месяцев'!E17+август!E17</f>
        <v>0</v>
      </c>
      <c r="F17" s="356">
        <f>'7 месяцев'!F17+август!F17</f>
        <v>701180</v>
      </c>
      <c r="G17" s="356">
        <f>'7 месяцев'!G17+август!G17</f>
        <v>0</v>
      </c>
      <c r="H17" s="356">
        <f>'7 месяцев'!H17+август!H17</f>
        <v>120</v>
      </c>
      <c r="I17" s="356">
        <f>'7 месяцев'!I17+август!I17</f>
        <v>200</v>
      </c>
      <c r="J17" s="247">
        <f>SUM(K17:O17)</f>
        <v>867803.91499999992</v>
      </c>
      <c r="K17" s="356">
        <f>'7 месяцев'!K17+август!K17</f>
        <v>0</v>
      </c>
      <c r="L17" s="356">
        <f>'7 месяцев'!L17+август!L17</f>
        <v>867486.42200000002</v>
      </c>
      <c r="M17" s="356">
        <f>'7 месяцев'!M17+август!M17</f>
        <v>0.88200000000000001</v>
      </c>
      <c r="N17" s="356">
        <f>'7 месяцев'!N17+август!N17</f>
        <v>173.24700000000001</v>
      </c>
      <c r="O17" s="356">
        <f>'7 месяцев'!O17+август!O17</f>
        <v>143.364</v>
      </c>
    </row>
    <row r="18" spans="1:15" ht="13.5" thickTop="1" thickBot="1">
      <c r="A18" s="862"/>
      <c r="B18" s="182" t="s">
        <v>32</v>
      </c>
      <c r="C18" s="182" t="s">
        <v>33</v>
      </c>
      <c r="D18" s="354">
        <f t="shared" ref="D18:O18" si="3">SUM(D19:D20)</f>
        <v>28300</v>
      </c>
      <c r="E18" s="355">
        <f t="shared" si="3"/>
        <v>0</v>
      </c>
      <c r="F18" s="355">
        <f t="shared" si="3"/>
        <v>26610</v>
      </c>
      <c r="G18" s="355">
        <f t="shared" si="3"/>
        <v>1690</v>
      </c>
      <c r="H18" s="355">
        <f t="shared" si="3"/>
        <v>0</v>
      </c>
      <c r="I18" s="355">
        <f t="shared" si="3"/>
        <v>0</v>
      </c>
      <c r="J18" s="247">
        <f t="shared" si="3"/>
        <v>39514.663</v>
      </c>
      <c r="K18" s="248">
        <f t="shared" si="3"/>
        <v>0</v>
      </c>
      <c r="L18" s="248">
        <f t="shared" si="3"/>
        <v>38099.093000000001</v>
      </c>
      <c r="M18" s="248">
        <f t="shared" si="3"/>
        <v>1415.57</v>
      </c>
      <c r="N18" s="248">
        <f t="shared" si="3"/>
        <v>0</v>
      </c>
      <c r="O18" s="248">
        <f t="shared" si="3"/>
        <v>0</v>
      </c>
    </row>
    <row r="19" spans="1:15" ht="13.5" thickTop="1" thickBot="1">
      <c r="A19" s="862"/>
      <c r="B19" s="186" t="s">
        <v>34</v>
      </c>
      <c r="C19" s="187" t="s">
        <v>162</v>
      </c>
      <c r="D19" s="357">
        <f t="shared" ref="D19:D29" si="4">SUM(E19:I19)</f>
        <v>2050</v>
      </c>
      <c r="E19" s="358"/>
      <c r="F19" s="356">
        <f>'7 месяцев'!F19+август!F19</f>
        <v>2050</v>
      </c>
      <c r="G19" s="358">
        <v>0</v>
      </c>
      <c r="H19" s="358"/>
      <c r="I19" s="358"/>
      <c r="J19" s="251">
        <f t="shared" ref="J19:J29" si="5">SUM(K19:O19)</f>
        <v>18514.847000000002</v>
      </c>
      <c r="K19" s="252"/>
      <c r="L19" s="356">
        <f>'7 месяцев'!L19+август!L19</f>
        <v>18514.847000000002</v>
      </c>
      <c r="M19" s="252"/>
      <c r="N19" s="252"/>
      <c r="O19" s="252"/>
    </row>
    <row r="20" spans="1:15" ht="13.5" thickTop="1" thickBot="1">
      <c r="A20" s="862"/>
      <c r="B20" s="190" t="s">
        <v>35</v>
      </c>
      <c r="C20" s="187" t="s">
        <v>163</v>
      </c>
      <c r="D20" s="357">
        <f t="shared" si="4"/>
        <v>26250</v>
      </c>
      <c r="E20" s="358"/>
      <c r="F20" s="356">
        <f>'7 месяцев'!F20+август!F20</f>
        <v>24560</v>
      </c>
      <c r="G20" s="356">
        <f>'7 месяцев'!G20+август!G20</f>
        <v>1690</v>
      </c>
      <c r="H20" s="358"/>
      <c r="I20" s="358"/>
      <c r="J20" s="251">
        <f t="shared" si="5"/>
        <v>20999.815999999999</v>
      </c>
      <c r="K20" s="252"/>
      <c r="L20" s="356">
        <f>'7 месяцев'!L20+август!L20</f>
        <v>19584.245999999999</v>
      </c>
      <c r="M20" s="356">
        <f>'7 месяцев'!M20+август!M20</f>
        <v>1415.57</v>
      </c>
      <c r="N20" s="252"/>
      <c r="O20" s="252"/>
    </row>
    <row r="21" spans="1:15" ht="13.5" thickTop="1" thickBot="1">
      <c r="A21" s="862"/>
      <c r="B21" s="182" t="s">
        <v>36</v>
      </c>
      <c r="C21" s="182" t="s">
        <v>37</v>
      </c>
      <c r="D21" s="354">
        <f t="shared" si="4"/>
        <v>29330</v>
      </c>
      <c r="E21" s="355"/>
      <c r="F21" s="356">
        <f>'7 месяцев'!F21+август!F21</f>
        <v>26570</v>
      </c>
      <c r="G21" s="356">
        <f>'7 месяцев'!G21+август!G21</f>
        <v>2760</v>
      </c>
      <c r="H21" s="355"/>
      <c r="I21" s="355"/>
      <c r="J21" s="247">
        <f t="shared" si="5"/>
        <v>26390.412</v>
      </c>
      <c r="K21" s="248"/>
      <c r="L21" s="356">
        <f>'7 месяцев'!L21+август!L21</f>
        <v>25528.735000000001</v>
      </c>
      <c r="M21" s="356">
        <f>'7 месяцев'!M21+август!M21</f>
        <v>861.67699999999991</v>
      </c>
      <c r="N21" s="248"/>
      <c r="O21" s="248"/>
    </row>
    <row r="22" spans="1:15" s="17" customFormat="1" ht="13.5" thickTop="1" thickBot="1">
      <c r="A22" s="862"/>
      <c r="B22" s="232" t="s">
        <v>38</v>
      </c>
      <c r="C22" s="232" t="s">
        <v>39</v>
      </c>
      <c r="D22" s="361">
        <f t="shared" si="4"/>
        <v>2690920</v>
      </c>
      <c r="E22" s="361">
        <f>SUM(E23:E25,E28,E29)</f>
        <v>0</v>
      </c>
      <c r="F22" s="361">
        <f>SUM(F23:F25,F28,F29)</f>
        <v>2048470</v>
      </c>
      <c r="G22" s="361">
        <f>SUM(G23:G25,G28,G29)</f>
        <v>389470</v>
      </c>
      <c r="H22" s="361">
        <f>SUM(H23:H25,H28,H29)</f>
        <v>253100</v>
      </c>
      <c r="I22" s="361">
        <f>SUM(I23:I25,I28,I29)</f>
        <v>-120</v>
      </c>
      <c r="J22" s="256">
        <f t="shared" si="5"/>
        <v>2540473.821</v>
      </c>
      <c r="K22" s="256">
        <f>SUM(K23:K25,K28,K29)</f>
        <v>0</v>
      </c>
      <c r="L22" s="256">
        <f>SUM(L23:L25,L28,L29)</f>
        <v>1983489.16</v>
      </c>
      <c r="M22" s="256">
        <f>SUM(M23:M25,M28,M29)</f>
        <v>321010.26299999998</v>
      </c>
      <c r="N22" s="256">
        <f>SUM(N23:N25,N28,N29)</f>
        <v>236055.53700000001</v>
      </c>
      <c r="O22" s="256">
        <f>SUM(O23:O25,O28,O29)</f>
        <v>-81.13900000000001</v>
      </c>
    </row>
    <row r="23" spans="1:15" ht="13.5" thickTop="1" thickBot="1">
      <c r="A23" s="862"/>
      <c r="B23" s="182" t="s">
        <v>40</v>
      </c>
      <c r="C23" s="182" t="s">
        <v>41</v>
      </c>
      <c r="D23" s="354">
        <f t="shared" si="4"/>
        <v>0</v>
      </c>
      <c r="E23" s="354">
        <f t="shared" ref="E23:I28" si="6">E7-E16</f>
        <v>0</v>
      </c>
      <c r="F23" s="354">
        <f t="shared" si="6"/>
        <v>0</v>
      </c>
      <c r="G23" s="354">
        <f t="shared" si="6"/>
        <v>0</v>
      </c>
      <c r="H23" s="354">
        <f t="shared" si="6"/>
        <v>0</v>
      </c>
      <c r="I23" s="354">
        <f t="shared" si="6"/>
        <v>0</v>
      </c>
      <c r="J23" s="247">
        <f t="shared" si="5"/>
        <v>0</v>
      </c>
      <c r="K23" s="247">
        <f t="shared" ref="K23:O28" si="7">K7-K16</f>
        <v>0</v>
      </c>
      <c r="L23" s="247">
        <f t="shared" si="7"/>
        <v>0</v>
      </c>
      <c r="M23" s="247">
        <f t="shared" si="7"/>
        <v>0</v>
      </c>
      <c r="N23" s="247">
        <f t="shared" si="7"/>
        <v>0</v>
      </c>
      <c r="O23" s="247">
        <f t="shared" si="7"/>
        <v>0</v>
      </c>
    </row>
    <row r="24" spans="1:15" ht="13.5" thickTop="1" thickBot="1">
      <c r="A24" s="862"/>
      <c r="B24" s="182" t="s">
        <v>42</v>
      </c>
      <c r="C24" s="182" t="s">
        <v>43</v>
      </c>
      <c r="D24" s="354">
        <f t="shared" si="4"/>
        <v>1049055</v>
      </c>
      <c r="E24" s="354">
        <f t="shared" si="6"/>
        <v>0</v>
      </c>
      <c r="F24" s="354">
        <f t="shared" si="6"/>
        <v>708735</v>
      </c>
      <c r="G24" s="354">
        <f t="shared" si="6"/>
        <v>113230</v>
      </c>
      <c r="H24" s="354">
        <f t="shared" si="6"/>
        <v>227210</v>
      </c>
      <c r="I24" s="354">
        <f t="shared" si="6"/>
        <v>-120</v>
      </c>
      <c r="J24" s="247">
        <f t="shared" si="5"/>
        <v>596380.28099999984</v>
      </c>
      <c r="K24" s="247">
        <f t="shared" si="7"/>
        <v>0</v>
      </c>
      <c r="L24" s="247">
        <f t="shared" si="7"/>
        <v>280190.11699999985</v>
      </c>
      <c r="M24" s="247">
        <f t="shared" si="7"/>
        <v>102819.57199999999</v>
      </c>
      <c r="N24" s="247">
        <f t="shared" si="7"/>
        <v>213451.731</v>
      </c>
      <c r="O24" s="247">
        <f t="shared" si="7"/>
        <v>-81.13900000000001</v>
      </c>
    </row>
    <row r="25" spans="1:15" ht="13.5" thickTop="1" thickBot="1">
      <c r="A25" s="862"/>
      <c r="B25" s="182" t="s">
        <v>44</v>
      </c>
      <c r="C25" s="182" t="s">
        <v>45</v>
      </c>
      <c r="D25" s="354">
        <f t="shared" si="4"/>
        <v>74070</v>
      </c>
      <c r="E25" s="354">
        <f t="shared" si="6"/>
        <v>0</v>
      </c>
      <c r="F25" s="354">
        <f t="shared" si="6"/>
        <v>75760</v>
      </c>
      <c r="G25" s="354">
        <f t="shared" si="6"/>
        <v>-1690</v>
      </c>
      <c r="H25" s="354">
        <f t="shared" si="6"/>
        <v>0</v>
      </c>
      <c r="I25" s="354">
        <f t="shared" si="6"/>
        <v>0</v>
      </c>
      <c r="J25" s="247">
        <f t="shared" si="5"/>
        <v>33226.991999999998</v>
      </c>
      <c r="K25" s="247">
        <f t="shared" si="7"/>
        <v>0</v>
      </c>
      <c r="L25" s="247">
        <f t="shared" si="7"/>
        <v>34642.561999999998</v>
      </c>
      <c r="M25" s="247">
        <f t="shared" si="7"/>
        <v>-1415.57</v>
      </c>
      <c r="N25" s="247">
        <f t="shared" si="7"/>
        <v>0</v>
      </c>
      <c r="O25" s="247">
        <f t="shared" si="7"/>
        <v>0</v>
      </c>
    </row>
    <row r="26" spans="1:15" ht="13.5" thickTop="1" thickBot="1">
      <c r="A26" s="862"/>
      <c r="B26" s="186" t="s">
        <v>46</v>
      </c>
      <c r="C26" s="187" t="s">
        <v>162</v>
      </c>
      <c r="D26" s="354">
        <f t="shared" si="4"/>
        <v>87440</v>
      </c>
      <c r="E26" s="357">
        <f t="shared" si="6"/>
        <v>0</v>
      </c>
      <c r="F26" s="357">
        <f t="shared" si="6"/>
        <v>87440</v>
      </c>
      <c r="G26" s="357">
        <f t="shared" si="6"/>
        <v>0</v>
      </c>
      <c r="H26" s="357">
        <f t="shared" si="6"/>
        <v>0</v>
      </c>
      <c r="I26" s="357">
        <f t="shared" si="6"/>
        <v>0</v>
      </c>
      <c r="J26" s="247">
        <f t="shared" si="5"/>
        <v>45553.615999999995</v>
      </c>
      <c r="K26" s="251">
        <f t="shared" si="7"/>
        <v>0</v>
      </c>
      <c r="L26" s="251">
        <f t="shared" si="7"/>
        <v>45553.615999999995</v>
      </c>
      <c r="M26" s="251">
        <f t="shared" si="7"/>
        <v>0</v>
      </c>
      <c r="N26" s="251">
        <f t="shared" si="7"/>
        <v>0</v>
      </c>
      <c r="O26" s="251">
        <f t="shared" si="7"/>
        <v>0</v>
      </c>
    </row>
    <row r="27" spans="1:15" ht="13.5" thickTop="1" thickBot="1">
      <c r="A27" s="862"/>
      <c r="B27" s="186" t="s">
        <v>47</v>
      </c>
      <c r="C27" s="187" t="s">
        <v>163</v>
      </c>
      <c r="D27" s="354">
        <f t="shared" si="4"/>
        <v>-13370</v>
      </c>
      <c r="E27" s="357">
        <f t="shared" si="6"/>
        <v>0</v>
      </c>
      <c r="F27" s="357">
        <f t="shared" si="6"/>
        <v>-11680</v>
      </c>
      <c r="G27" s="357">
        <f t="shared" si="6"/>
        <v>-1690</v>
      </c>
      <c r="H27" s="357">
        <f t="shared" si="6"/>
        <v>0</v>
      </c>
      <c r="I27" s="357">
        <f t="shared" si="6"/>
        <v>0</v>
      </c>
      <c r="J27" s="247">
        <f t="shared" si="5"/>
        <v>-12326.623999999998</v>
      </c>
      <c r="K27" s="251">
        <f t="shared" si="7"/>
        <v>0</v>
      </c>
      <c r="L27" s="251">
        <f t="shared" si="7"/>
        <v>-10911.053999999998</v>
      </c>
      <c r="M27" s="251">
        <f t="shared" si="7"/>
        <v>-1415.57</v>
      </c>
      <c r="N27" s="251">
        <f t="shared" si="7"/>
        <v>0</v>
      </c>
      <c r="O27" s="251">
        <f t="shared" si="7"/>
        <v>0</v>
      </c>
    </row>
    <row r="28" spans="1:15" ht="13.5" thickTop="1" thickBot="1">
      <c r="A28" s="862"/>
      <c r="B28" s="182" t="s">
        <v>48</v>
      </c>
      <c r="C28" s="182" t="s">
        <v>49</v>
      </c>
      <c r="D28" s="354">
        <f t="shared" si="4"/>
        <v>1557295</v>
      </c>
      <c r="E28" s="354">
        <f t="shared" si="6"/>
        <v>0</v>
      </c>
      <c r="F28" s="354">
        <f t="shared" si="6"/>
        <v>1263975</v>
      </c>
      <c r="G28" s="354">
        <f t="shared" si="6"/>
        <v>267430</v>
      </c>
      <c r="H28" s="354">
        <f t="shared" si="6"/>
        <v>25890</v>
      </c>
      <c r="I28" s="354">
        <f t="shared" si="6"/>
        <v>0</v>
      </c>
      <c r="J28" s="247">
        <f t="shared" si="5"/>
        <v>1909090.7480000001</v>
      </c>
      <c r="K28" s="247">
        <f t="shared" si="7"/>
        <v>0</v>
      </c>
      <c r="L28" s="247">
        <f t="shared" si="7"/>
        <v>1668656.4810000001</v>
      </c>
      <c r="M28" s="247">
        <f t="shared" si="7"/>
        <v>217830.46099999998</v>
      </c>
      <c r="N28" s="247">
        <f t="shared" si="7"/>
        <v>22603.806</v>
      </c>
      <c r="O28" s="247">
        <f t="shared" si="7"/>
        <v>0</v>
      </c>
    </row>
    <row r="29" spans="1:15" ht="13.5" thickTop="1" thickBot="1">
      <c r="A29" s="862"/>
      <c r="B29" s="182" t="s">
        <v>50</v>
      </c>
      <c r="C29" s="182" t="s">
        <v>25</v>
      </c>
      <c r="D29" s="354">
        <f t="shared" si="4"/>
        <v>10500</v>
      </c>
      <c r="E29" s="354">
        <f>E14</f>
        <v>0</v>
      </c>
      <c r="F29" s="354">
        <f>F14</f>
        <v>0</v>
      </c>
      <c r="G29" s="354">
        <f>G14</f>
        <v>10500</v>
      </c>
      <c r="H29" s="354">
        <f>H14</f>
        <v>0</v>
      </c>
      <c r="I29" s="354">
        <f>I14</f>
        <v>0</v>
      </c>
      <c r="J29" s="247">
        <f t="shared" si="5"/>
        <v>1775.7999999999993</v>
      </c>
      <c r="K29" s="247">
        <f>K14</f>
        <v>0</v>
      </c>
      <c r="L29" s="247">
        <f>L14</f>
        <v>0</v>
      </c>
      <c r="M29" s="247">
        <f>M14</f>
        <v>1775.7999999999993</v>
      </c>
      <c r="N29" s="247">
        <f>N14</f>
        <v>0</v>
      </c>
      <c r="O29" s="247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362">
        <f>SUM(F30:I30)</f>
        <v>3286366</v>
      </c>
      <c r="E30" s="362"/>
      <c r="F30" s="362">
        <f>SUM(F31:F33)</f>
        <v>0</v>
      </c>
      <c r="G30" s="362">
        <f>SUM(G31:G33)</f>
        <v>420606</v>
      </c>
      <c r="H30" s="362">
        <f>SUM(H31:H33)</f>
        <v>1731660</v>
      </c>
      <c r="I30" s="362">
        <f>SUM(I31:I33)</f>
        <v>1134100</v>
      </c>
      <c r="J30" s="258">
        <f>SUM(L30:O30)</f>
        <v>3104431.6422300003</v>
      </c>
      <c r="K30" s="258"/>
      <c r="L30" s="258">
        <f>SUM(L31:L33)</f>
        <v>0</v>
      </c>
      <c r="M30" s="258">
        <f>SUM(M31:M33)</f>
        <v>362098.51310500002</v>
      </c>
      <c r="N30" s="258">
        <f>SUM(N31:N33)</f>
        <v>1642435.0451250002</v>
      </c>
      <c r="O30" s="258">
        <f>SUM(O31:O33)</f>
        <v>1099898.0840000003</v>
      </c>
    </row>
    <row r="31" spans="1:15" ht="13.5" thickTop="1" thickBot="1">
      <c r="A31" s="862"/>
      <c r="B31" s="182" t="s">
        <v>54</v>
      </c>
      <c r="C31" s="182" t="s">
        <v>55</v>
      </c>
      <c r="D31" s="354">
        <f t="shared" ref="D31:D43" si="8">SUM(E31:I31)</f>
        <v>1402020</v>
      </c>
      <c r="E31" s="363"/>
      <c r="F31" s="364"/>
      <c r="G31" s="354">
        <f>F36</f>
        <v>420606</v>
      </c>
      <c r="H31" s="354">
        <f>F37</f>
        <v>981414</v>
      </c>
      <c r="I31" s="363"/>
      <c r="J31" s="247">
        <f t="shared" ref="J31:J43" si="9">SUM(K31:O31)</f>
        <v>1368252.1051250002</v>
      </c>
      <c r="K31" s="259"/>
      <c r="L31" s="260"/>
      <c r="M31" s="247">
        <f>L36</f>
        <v>362098.51310500002</v>
      </c>
      <c r="N31" s="247">
        <f>L37</f>
        <v>1006153.5920200001</v>
      </c>
      <c r="O31" s="259"/>
    </row>
    <row r="32" spans="1:15" ht="13.5" thickTop="1" thickBot="1">
      <c r="A32" s="862"/>
      <c r="B32" s="182" t="s">
        <v>56</v>
      </c>
      <c r="C32" s="182" t="s">
        <v>57</v>
      </c>
      <c r="D32" s="354">
        <f t="shared" si="8"/>
        <v>750246</v>
      </c>
      <c r="E32" s="363"/>
      <c r="F32" s="363"/>
      <c r="G32" s="363"/>
      <c r="H32" s="354">
        <f>G37</f>
        <v>750246</v>
      </c>
      <c r="I32" s="364">
        <f>G43</f>
        <v>0</v>
      </c>
      <c r="J32" s="247">
        <f t="shared" si="9"/>
        <v>636281.45310500008</v>
      </c>
      <c r="K32" s="259"/>
      <c r="L32" s="259"/>
      <c r="M32" s="259"/>
      <c r="N32" s="247">
        <f>M37</f>
        <v>636281.45310500008</v>
      </c>
      <c r="O32" s="260">
        <f>M43</f>
        <v>0</v>
      </c>
    </row>
    <row r="33" spans="1:15" ht="13.5" thickTop="1" thickBot="1">
      <c r="A33" s="862"/>
      <c r="B33" s="182" t="s">
        <v>58</v>
      </c>
      <c r="C33" s="182" t="s">
        <v>59</v>
      </c>
      <c r="D33" s="354">
        <f t="shared" si="8"/>
        <v>1134100</v>
      </c>
      <c r="E33" s="363"/>
      <c r="F33" s="363"/>
      <c r="G33" s="363"/>
      <c r="H33" s="363"/>
      <c r="I33" s="354">
        <f>G38+H38</f>
        <v>1134100</v>
      </c>
      <c r="J33" s="247">
        <f t="shared" si="9"/>
        <v>1099898.0840000003</v>
      </c>
      <c r="K33" s="259"/>
      <c r="L33" s="259"/>
      <c r="M33" s="259"/>
      <c r="N33" s="259"/>
      <c r="O33" s="247">
        <f>M38+N38</f>
        <v>1099898.0840000003</v>
      </c>
    </row>
    <row r="34" spans="1:15" ht="13.5" thickTop="1" thickBot="1">
      <c r="A34" s="862"/>
      <c r="B34" s="179" t="s">
        <v>60</v>
      </c>
      <c r="C34" s="179" t="s">
        <v>61</v>
      </c>
      <c r="D34" s="362">
        <f t="shared" si="8"/>
        <v>3286366</v>
      </c>
      <c r="E34" s="362"/>
      <c r="F34" s="362">
        <f>SUM(F35:F38)</f>
        <v>1402020</v>
      </c>
      <c r="G34" s="362">
        <f>SUM(G35:G38)</f>
        <v>750246</v>
      </c>
      <c r="H34" s="362">
        <f>SUM(H35:H38)</f>
        <v>1134100</v>
      </c>
      <c r="I34" s="285">
        <f>SUM(I35:I38)</f>
        <v>0</v>
      </c>
      <c r="J34" s="258">
        <f t="shared" si="9"/>
        <v>3104431.6422300003</v>
      </c>
      <c r="K34" s="258"/>
      <c r="L34" s="258">
        <f>SUM(L35:L38)</f>
        <v>1368252.1051250002</v>
      </c>
      <c r="M34" s="258">
        <f>SUM(M35:M38)</f>
        <v>636281.45310500008</v>
      </c>
      <c r="N34" s="258">
        <f>SUM(N35:N38)</f>
        <v>1099898.0840000003</v>
      </c>
      <c r="O34" s="261">
        <f>SUM(O35:O38)</f>
        <v>0</v>
      </c>
    </row>
    <row r="35" spans="1:15" ht="13.5" thickTop="1" thickBot="1">
      <c r="A35" s="862"/>
      <c r="B35" s="182" t="s">
        <v>62</v>
      </c>
      <c r="C35" s="182" t="s">
        <v>63</v>
      </c>
      <c r="D35" s="354">
        <f t="shared" si="8"/>
        <v>0</v>
      </c>
      <c r="E35" s="364"/>
      <c r="F35" s="363"/>
      <c r="G35" s="363"/>
      <c r="H35" s="363"/>
      <c r="I35" s="363"/>
      <c r="J35" s="247">
        <f t="shared" si="9"/>
        <v>0</v>
      </c>
      <c r="K35" s="260"/>
      <c r="L35" s="259"/>
      <c r="M35" s="259"/>
      <c r="N35" s="259"/>
      <c r="O35" s="259"/>
    </row>
    <row r="36" spans="1:15" ht="13.5" thickTop="1" thickBot="1">
      <c r="A36" s="862"/>
      <c r="B36" s="182" t="s">
        <v>64</v>
      </c>
      <c r="C36" s="182" t="s">
        <v>65</v>
      </c>
      <c r="D36" s="354">
        <f t="shared" si="8"/>
        <v>420606</v>
      </c>
      <c r="E36" s="354"/>
      <c r="F36" s="356">
        <f>'7 месяцев'!F36+август!F36</f>
        <v>420606</v>
      </c>
      <c r="G36" s="259"/>
      <c r="H36" s="259"/>
      <c r="I36" s="363"/>
      <c r="J36" s="247">
        <f t="shared" si="9"/>
        <v>362098.51310500002</v>
      </c>
      <c r="K36" s="247"/>
      <c r="L36" s="333">
        <f>'7 месяцев'!L36+август!L36</f>
        <v>362098.51310500002</v>
      </c>
      <c r="M36" s="259"/>
      <c r="N36" s="259"/>
      <c r="O36" s="259"/>
    </row>
    <row r="37" spans="1:15" ht="13.5" thickTop="1" thickBot="1">
      <c r="A37" s="862"/>
      <c r="B37" s="182" t="s">
        <v>66</v>
      </c>
      <c r="C37" s="182" t="s">
        <v>67</v>
      </c>
      <c r="D37" s="354">
        <f t="shared" si="8"/>
        <v>1731660</v>
      </c>
      <c r="E37" s="354"/>
      <c r="F37" s="356">
        <f>'7 месяцев'!F37+август!F37</f>
        <v>981414</v>
      </c>
      <c r="G37" s="356">
        <f>'7 месяцев'!G37+август!G37</f>
        <v>750246</v>
      </c>
      <c r="H37" s="259"/>
      <c r="I37" s="363"/>
      <c r="J37" s="247">
        <f t="shared" si="9"/>
        <v>1642435.0451250002</v>
      </c>
      <c r="K37" s="247"/>
      <c r="L37" s="333">
        <f>'7 месяцев'!L37+август!L37</f>
        <v>1006153.5920200001</v>
      </c>
      <c r="M37" s="333">
        <f>'7 месяцев'!M37+август!M37</f>
        <v>636281.45310500008</v>
      </c>
      <c r="N37" s="259"/>
      <c r="O37" s="259"/>
    </row>
    <row r="38" spans="1:15" ht="13.5" thickTop="1" thickBot="1">
      <c r="A38" s="862"/>
      <c r="B38" s="182" t="s">
        <v>68</v>
      </c>
      <c r="C38" s="182" t="s">
        <v>69</v>
      </c>
      <c r="D38" s="354">
        <f t="shared" si="8"/>
        <v>1134100</v>
      </c>
      <c r="E38" s="363"/>
      <c r="F38" s="259"/>
      <c r="G38" s="260"/>
      <c r="H38" s="356">
        <f>'7 месяцев'!H38+август!H38</f>
        <v>1134100</v>
      </c>
      <c r="I38" s="363"/>
      <c r="J38" s="247">
        <f t="shared" si="9"/>
        <v>1099898.0840000003</v>
      </c>
      <c r="K38" s="259"/>
      <c r="L38" s="259"/>
      <c r="M38" s="260"/>
      <c r="N38" s="333">
        <f>'7 месяцев'!N38+август!N38</f>
        <v>1099898.0840000003</v>
      </c>
      <c r="O38" s="259"/>
    </row>
    <row r="39" spans="1:15" s="17" customFormat="1" ht="13.5" thickTop="1" thickBot="1">
      <c r="A39" s="862"/>
      <c r="B39" s="232" t="s">
        <v>70</v>
      </c>
      <c r="C39" s="232" t="s">
        <v>71</v>
      </c>
      <c r="D39" s="365">
        <f t="shared" si="8"/>
        <v>0</v>
      </c>
      <c r="E39" s="365"/>
      <c r="F39" s="365">
        <f>SUM(F40:F43)</f>
        <v>-1402020</v>
      </c>
      <c r="G39" s="365">
        <f>SUM(G40:G43)</f>
        <v>-329640</v>
      </c>
      <c r="H39" s="365">
        <f>SUM(H40:H43)</f>
        <v>597560</v>
      </c>
      <c r="I39" s="365">
        <f>SUM(I40:I43)</f>
        <v>1134100</v>
      </c>
      <c r="J39" s="262">
        <f t="shared" si="9"/>
        <v>0</v>
      </c>
      <c r="K39" s="262"/>
      <c r="L39" s="262">
        <f>SUM(L40:L43)</f>
        <v>-1368252.1051250002</v>
      </c>
      <c r="M39" s="262">
        <f>SUM(M40:M43)</f>
        <v>-274182.94000000006</v>
      </c>
      <c r="N39" s="262">
        <f>SUM(N40:N43)</f>
        <v>542536.96112499991</v>
      </c>
      <c r="O39" s="262">
        <f>SUM(O40:O43)</f>
        <v>1099898.0840000003</v>
      </c>
    </row>
    <row r="40" spans="1:15" ht="13.5" thickTop="1" thickBot="1">
      <c r="A40" s="862"/>
      <c r="B40" s="182" t="s">
        <v>72</v>
      </c>
      <c r="C40" s="182" t="s">
        <v>5</v>
      </c>
      <c r="D40" s="366">
        <f t="shared" si="8"/>
        <v>1402020</v>
      </c>
      <c r="E40" s="367"/>
      <c r="F40" s="367">
        <f>F31-F35</f>
        <v>0</v>
      </c>
      <c r="G40" s="367">
        <f>G31-G35</f>
        <v>420606</v>
      </c>
      <c r="H40" s="367">
        <f>H31-H35</f>
        <v>981414</v>
      </c>
      <c r="I40" s="368"/>
      <c r="J40" s="264">
        <f t="shared" si="9"/>
        <v>1368252.1051250002</v>
      </c>
      <c r="K40" s="265"/>
      <c r="L40" s="265">
        <f>L31-L35</f>
        <v>0</v>
      </c>
      <c r="M40" s="265">
        <f>M31-M35</f>
        <v>362098.51310500002</v>
      </c>
      <c r="N40" s="265">
        <f>N31-N35</f>
        <v>1006153.5920200001</v>
      </c>
      <c r="O40" s="266"/>
    </row>
    <row r="41" spans="1:15" ht="13.5" thickTop="1" thickBot="1">
      <c r="A41" s="862"/>
      <c r="B41" s="182" t="s">
        <v>73</v>
      </c>
      <c r="C41" s="182" t="s">
        <v>74</v>
      </c>
      <c r="D41" s="366">
        <f t="shared" si="8"/>
        <v>329640</v>
      </c>
      <c r="E41" s="367">
        <f>E32-E36</f>
        <v>0</v>
      </c>
      <c r="F41" s="367">
        <f>F32-F36</f>
        <v>-420606</v>
      </c>
      <c r="G41" s="368"/>
      <c r="H41" s="367">
        <f>H32-H36</f>
        <v>750246</v>
      </c>
      <c r="I41" s="368"/>
      <c r="J41" s="264">
        <f t="shared" si="9"/>
        <v>274182.94000000006</v>
      </c>
      <c r="K41" s="265">
        <f>K32-K36</f>
        <v>0</v>
      </c>
      <c r="L41" s="265">
        <f>L32-L36</f>
        <v>-362098.51310500002</v>
      </c>
      <c r="M41" s="266"/>
      <c r="N41" s="265">
        <f>N32-N36</f>
        <v>636281.45310500008</v>
      </c>
      <c r="O41" s="266"/>
    </row>
    <row r="42" spans="1:15" ht="13.5" thickTop="1" thickBot="1">
      <c r="A42" s="862"/>
      <c r="B42" s="182" t="s">
        <v>75</v>
      </c>
      <c r="C42" s="182" t="s">
        <v>76</v>
      </c>
      <c r="D42" s="366">
        <f t="shared" si="8"/>
        <v>-597560</v>
      </c>
      <c r="E42" s="367">
        <f>E33-E37</f>
        <v>0</v>
      </c>
      <c r="F42" s="367">
        <f>F33-F37</f>
        <v>-981414</v>
      </c>
      <c r="G42" s="367">
        <f>G33-G37</f>
        <v>-750246</v>
      </c>
      <c r="H42" s="368"/>
      <c r="I42" s="367">
        <f>I33-I37</f>
        <v>1134100</v>
      </c>
      <c r="J42" s="264">
        <f t="shared" si="9"/>
        <v>-542536.96112499991</v>
      </c>
      <c r="K42" s="265">
        <f>K33-K37</f>
        <v>0</v>
      </c>
      <c r="L42" s="265">
        <f>L33-L37</f>
        <v>-1006153.5920200001</v>
      </c>
      <c r="M42" s="265">
        <f>M33-M37</f>
        <v>-636281.45310500008</v>
      </c>
      <c r="N42" s="266"/>
      <c r="O42" s="265">
        <f>O33-O37</f>
        <v>1099898.0840000003</v>
      </c>
    </row>
    <row r="43" spans="1:15" ht="13.5" thickTop="1" thickBot="1">
      <c r="A43" s="862"/>
      <c r="B43" s="199" t="s">
        <v>77</v>
      </c>
      <c r="C43" s="199" t="s">
        <v>8</v>
      </c>
      <c r="D43" s="367">
        <f t="shared" si="8"/>
        <v>-1134100</v>
      </c>
      <c r="E43" s="368"/>
      <c r="F43" s="368"/>
      <c r="G43" s="367"/>
      <c r="H43" s="367">
        <f>-H38</f>
        <v>-1134100</v>
      </c>
      <c r="I43" s="368"/>
      <c r="J43" s="265">
        <f t="shared" si="9"/>
        <v>-1099898.0840000003</v>
      </c>
      <c r="K43" s="266"/>
      <c r="L43" s="266"/>
      <c r="M43" s="265"/>
      <c r="N43" s="265">
        <f>-N38</f>
        <v>-1099898.0840000003</v>
      </c>
      <c r="O43" s="266"/>
    </row>
    <row r="44" spans="1:15" ht="13.5" thickTop="1" thickBot="1">
      <c r="A44" s="177"/>
      <c r="B44" s="200" t="s">
        <v>78</v>
      </c>
      <c r="C44" s="200" t="s">
        <v>79</v>
      </c>
      <c r="D44" s="201">
        <f>D22</f>
        <v>2690920</v>
      </c>
      <c r="E44" s="201">
        <f>E22+E30</f>
        <v>0</v>
      </c>
      <c r="F44" s="201">
        <f>F22+F30</f>
        <v>2048470</v>
      </c>
      <c r="G44" s="201">
        <f>G22+G30</f>
        <v>810076</v>
      </c>
      <c r="H44" s="201">
        <f>H22+H30</f>
        <v>1984760</v>
      </c>
      <c r="I44" s="201">
        <f>I22+I30</f>
        <v>1133980</v>
      </c>
      <c r="J44" s="201">
        <f>J22</f>
        <v>2540473.821</v>
      </c>
      <c r="K44" s="201">
        <f>K22+K30</f>
        <v>0</v>
      </c>
      <c r="L44" s="201">
        <f>L22+L30</f>
        <v>1983489.16</v>
      </c>
      <c r="M44" s="201">
        <f>M22+M30</f>
        <v>683108.77610499994</v>
      </c>
      <c r="N44" s="201">
        <f>N22+N30</f>
        <v>1878490.5821250002</v>
      </c>
      <c r="O44" s="201">
        <f>O22+O30</f>
        <v>1099816.9450000003</v>
      </c>
    </row>
    <row r="45" spans="1:15" ht="13.5" thickTop="1" thickBot="1">
      <c r="A45" s="177"/>
      <c r="B45" s="202" t="s">
        <v>80</v>
      </c>
      <c r="C45" s="202" t="s">
        <v>81</v>
      </c>
      <c r="D45" s="203">
        <f>D44</f>
        <v>2690920</v>
      </c>
      <c r="E45" s="203">
        <f>E143+E151+E34</f>
        <v>0</v>
      </c>
      <c r="F45" s="203">
        <f>F143+F151+F34-G49-H49-G73-H73-G78-H78-H54-H97-H109-G97-G102-H102-G109-G114-H114-G121-H121-G126-H126-G133-H133</f>
        <v>2048470</v>
      </c>
      <c r="G45" s="203">
        <f>G143+G151+G34-H50-I50-H55-I55-H62-I62-H67-I67-H98-H74-H79-H86-H91-H103-H110-H115-H122-H127-H134</f>
        <v>788659.6</v>
      </c>
      <c r="H45" s="203">
        <f>H143+H151+H34-I51-I56-I63-I68-I75-I80-I87-I92-I99-I104-I111-I116-I123-I128</f>
        <v>1816842.5</v>
      </c>
      <c r="I45" s="203">
        <f>I151+I143</f>
        <v>1125653.2</v>
      </c>
      <c r="J45" s="203">
        <f>J44</f>
        <v>2540473.821</v>
      </c>
      <c r="K45" s="203">
        <f>K143+K151+K34</f>
        <v>0</v>
      </c>
      <c r="L45" s="203">
        <f>L143+L151+L34-M49-N49-M73-N73-M78-N78-N54-N97-N109-M97-M102-N102-M109-M114-N114-M121-N121-M126-N126-M133-N133</f>
        <v>1983489.1600000001</v>
      </c>
      <c r="M45" s="203">
        <f>M143+M151+M34-N50-O50-N55-O55-N62-O62-N67-O67-N98-N74-N79-N86-N91-N103-N110-N115-N122-N127-N134</f>
        <v>668018.11710499995</v>
      </c>
      <c r="N45" s="203">
        <f>N143+N151+N34-O51-O56-O63-O68-O75-O80-O87-O92-O99-O104-O111-O116-O123-O128</f>
        <v>1722579.2731250001</v>
      </c>
      <c r="O45" s="203">
        <f>O151+O143</f>
        <v>1090220.9770000004</v>
      </c>
    </row>
    <row r="46" spans="1:15" ht="13.5" thickTop="1" thickBot="1">
      <c r="A46" s="862" t="s">
        <v>82</v>
      </c>
      <c r="B46" s="179" t="s">
        <v>83</v>
      </c>
      <c r="C46" s="179" t="s">
        <v>84</v>
      </c>
      <c r="D46" s="181">
        <f>SUM(E46:I46)</f>
        <v>2257540</v>
      </c>
      <c r="E46" s="322">
        <f>E47+E59+E71+E83+E95</f>
        <v>0</v>
      </c>
      <c r="F46" s="322">
        <f>F47+F59+F71+F83+F95+F107+F119+F131</f>
        <v>579470</v>
      </c>
      <c r="G46" s="322">
        <f>G47+G59+G71+G83+G95+G107+G119+G131</f>
        <v>27060</v>
      </c>
      <c r="H46" s="322">
        <f>H47+H59+H71+H83+H95+H107+H119+H131</f>
        <v>720680</v>
      </c>
      <c r="I46" s="322">
        <f>I47+I59+I71+I83+I95+I107+I119+I131</f>
        <v>930330</v>
      </c>
      <c r="J46" s="181">
        <f>SUM(K46:O46)</f>
        <v>2039658.8539999998</v>
      </c>
      <c r="K46" s="322">
        <f>K47+K59+K71+K83+K95</f>
        <v>0</v>
      </c>
      <c r="L46" s="322">
        <f>L47+L59+L71+L83+L95+L107+L119+L131</f>
        <v>551192.28200000001</v>
      </c>
      <c r="M46" s="322">
        <f>M47+M59+M71+M83+M95+M107+M119+M131</f>
        <v>21283.181000000004</v>
      </c>
      <c r="N46" s="322">
        <f>N47+N59+N71+N83+N95+N107+N119+N131</f>
        <v>657136.22400000005</v>
      </c>
      <c r="O46" s="322">
        <f>O47+O59+O71+O83+O95+O107+O119+O131</f>
        <v>810047.1669999999</v>
      </c>
    </row>
    <row r="47" spans="1:15" s="3" customFormat="1" ht="13.5" thickTop="1" thickBot="1">
      <c r="A47" s="862"/>
      <c r="B47" s="270" t="s">
        <v>85</v>
      </c>
      <c r="C47" s="271" t="s">
        <v>86</v>
      </c>
      <c r="D47" s="369">
        <f t="shared" ref="D47:D77" si="10">SUM(E47:I47)</f>
        <v>1604520</v>
      </c>
      <c r="E47" s="356">
        <f>'7 месяцев'!E47+август!E47</f>
        <v>0</v>
      </c>
      <c r="F47" s="356">
        <f>'7 месяцев'!F47+август!F47</f>
        <v>8920</v>
      </c>
      <c r="G47" s="356">
        <f>'7 месяцев'!G47+август!G47</f>
        <v>7620</v>
      </c>
      <c r="H47" s="356">
        <f>'7 месяцев'!H47+август!H47</f>
        <v>662360</v>
      </c>
      <c r="I47" s="356">
        <f>'7 месяцев'!I47+август!I47</f>
        <v>925620</v>
      </c>
      <c r="J47" s="272">
        <f t="shared" ref="J47:J76" si="11">SUM(K47:O47)</f>
        <v>1433941.8360000001</v>
      </c>
      <c r="K47" s="356">
        <f>'7 месяцев'!K47+август!K47</f>
        <v>0</v>
      </c>
      <c r="L47" s="356">
        <f>'7 месяцев'!L47+август!L47</f>
        <v>17608.885999999999</v>
      </c>
      <c r="M47" s="356">
        <f>'7 месяцев'!M47+август!M47</f>
        <v>6192.5220000000008</v>
      </c>
      <c r="N47" s="356">
        <f>'7 месяцев'!N47+август!N47</f>
        <v>612673.01300000004</v>
      </c>
      <c r="O47" s="356">
        <f>'7 месяцев'!O47+август!O47</f>
        <v>797467.41499999992</v>
      </c>
    </row>
    <row r="48" spans="1:15" ht="13.5" thickTop="1" thickBot="1">
      <c r="A48" s="862"/>
      <c r="B48" s="263" t="s">
        <v>87</v>
      </c>
      <c r="C48" s="263" t="s">
        <v>88</v>
      </c>
      <c r="D48" s="367">
        <f t="shared" si="10"/>
        <v>0</v>
      </c>
      <c r="E48" s="367"/>
      <c r="F48" s="367"/>
      <c r="G48" s="367"/>
      <c r="H48" s="367"/>
      <c r="I48" s="367"/>
      <c r="J48" s="265">
        <f t="shared" si="11"/>
        <v>0</v>
      </c>
      <c r="K48" s="265"/>
      <c r="L48" s="265"/>
      <c r="M48" s="265"/>
      <c r="N48" s="265"/>
      <c r="O48" s="265"/>
    </row>
    <row r="49" spans="1:15" ht="13.5" thickTop="1" thickBot="1">
      <c r="A49" s="862"/>
      <c r="B49" s="275"/>
      <c r="C49" s="276" t="s">
        <v>89</v>
      </c>
      <c r="D49" s="371">
        <f t="shared" si="10"/>
        <v>91500</v>
      </c>
      <c r="E49" s="372"/>
      <c r="F49" s="372"/>
      <c r="G49" s="371"/>
      <c r="H49" s="356">
        <f>'7 месяцев'!H49+август!H49</f>
        <v>91500</v>
      </c>
      <c r="I49" s="372"/>
      <c r="J49" s="277">
        <f t="shared" si="11"/>
        <v>101259.55900000001</v>
      </c>
      <c r="K49" s="278"/>
      <c r="L49" s="278"/>
      <c r="M49" s="277"/>
      <c r="N49" s="356">
        <f>'7 месяцев'!N49+август!N49</f>
        <v>101259.55900000001</v>
      </c>
      <c r="O49" s="278"/>
    </row>
    <row r="50" spans="1:15" ht="13.5" thickTop="1" thickBot="1">
      <c r="A50" s="862"/>
      <c r="B50" s="275"/>
      <c r="C50" s="276" t="s">
        <v>90</v>
      </c>
      <c r="D50" s="371">
        <f t="shared" si="10"/>
        <v>12400</v>
      </c>
      <c r="E50" s="372"/>
      <c r="F50" s="372"/>
      <c r="G50" s="372"/>
      <c r="H50" s="356">
        <f>'7 месяцев'!H50+август!H50</f>
        <v>12400</v>
      </c>
      <c r="I50" s="371"/>
      <c r="J50" s="277">
        <f t="shared" si="11"/>
        <v>4365.1669999999995</v>
      </c>
      <c r="K50" s="278"/>
      <c r="L50" s="278"/>
      <c r="M50" s="278"/>
      <c r="N50" s="356">
        <f>'7 месяцев'!N50+август!N50</f>
        <v>4365.1669999999995</v>
      </c>
      <c r="O50" s="277"/>
    </row>
    <row r="51" spans="1:15" ht="13.5" thickTop="1" thickBot="1">
      <c r="A51" s="862"/>
      <c r="B51" s="275"/>
      <c r="C51" s="276" t="s">
        <v>91</v>
      </c>
      <c r="D51" s="371">
        <f t="shared" si="10"/>
        <v>0</v>
      </c>
      <c r="E51" s="372"/>
      <c r="F51" s="372"/>
      <c r="G51" s="372"/>
      <c r="H51" s="372"/>
      <c r="I51" s="371"/>
      <c r="J51" s="277">
        <f t="shared" si="11"/>
        <v>0</v>
      </c>
      <c r="K51" s="278"/>
      <c r="L51" s="278"/>
      <c r="M51" s="278"/>
      <c r="N51" s="278"/>
      <c r="O51" s="277"/>
    </row>
    <row r="52" spans="1:15" ht="13.5" thickTop="1" thickBot="1">
      <c r="A52" s="862"/>
      <c r="B52" s="263" t="s">
        <v>92</v>
      </c>
      <c r="C52" s="263" t="s">
        <v>93</v>
      </c>
      <c r="D52" s="367">
        <f t="shared" si="10"/>
        <v>0</v>
      </c>
      <c r="E52" s="367"/>
      <c r="F52" s="356">
        <f>'7 месяцев'!F52+август!F52</f>
        <v>0</v>
      </c>
      <c r="G52" s="356">
        <f>'7 месяцев'!G52+август!G52</f>
        <v>0</v>
      </c>
      <c r="H52" s="356">
        <f>'7 месяцев'!H52+август!H52</f>
        <v>0</v>
      </c>
      <c r="I52" s="356">
        <f>'7 месяцев'!I52+август!I52</f>
        <v>0</v>
      </c>
      <c r="J52" s="265">
        <f t="shared" si="11"/>
        <v>0</v>
      </c>
      <c r="K52" s="387"/>
      <c r="L52" s="356">
        <f>'7 месяцев'!L52+август!L52</f>
        <v>0</v>
      </c>
      <c r="M52" s="356">
        <f>'7 месяцев'!M52+август!M52</f>
        <v>0</v>
      </c>
      <c r="N52" s="356">
        <f>'7 месяцев'!N52+август!N52</f>
        <v>0</v>
      </c>
      <c r="O52" s="356">
        <f>'7 месяцев'!O52+август!O52</f>
        <v>0</v>
      </c>
    </row>
    <row r="53" spans="1:15" ht="13.5" thickTop="1" thickBot="1">
      <c r="A53" s="862"/>
      <c r="B53" s="263" t="s">
        <v>94</v>
      </c>
      <c r="C53" s="263" t="s">
        <v>95</v>
      </c>
      <c r="D53" s="374">
        <f t="shared" si="10"/>
        <v>165764</v>
      </c>
      <c r="E53" s="376"/>
      <c r="F53" s="376"/>
      <c r="G53" s="356">
        <f>'7 месяцев'!G53+август!G53</f>
        <v>6266</v>
      </c>
      <c r="H53" s="356">
        <f>'7 месяцев'!H53+август!H53</f>
        <v>159498</v>
      </c>
      <c r="I53" s="367"/>
      <c r="J53" s="280">
        <f t="shared" si="11"/>
        <v>155745.85300000003</v>
      </c>
      <c r="K53" s="238"/>
      <c r="L53" s="238"/>
      <c r="M53" s="356">
        <f>'7 месяцев'!M53+август!M53</f>
        <v>6192.5220000000008</v>
      </c>
      <c r="N53" s="356">
        <f>'7 месяцев'!N53+август!N53</f>
        <v>149495.62400000004</v>
      </c>
      <c r="O53" s="356">
        <f>'7 месяцев'!O53+август!O53</f>
        <v>57.707000000000001</v>
      </c>
    </row>
    <row r="54" spans="1:15" ht="13.5" thickTop="1" thickBot="1">
      <c r="A54" s="862"/>
      <c r="B54" s="275"/>
      <c r="C54" s="276" t="s">
        <v>89</v>
      </c>
      <c r="D54" s="371">
        <f t="shared" si="10"/>
        <v>9050</v>
      </c>
      <c r="E54" s="377"/>
      <c r="F54" s="377"/>
      <c r="G54" s="376"/>
      <c r="H54" s="356">
        <f>'7 месяцев'!H54+август!H54</f>
        <v>9050</v>
      </c>
      <c r="I54" s="372"/>
      <c r="J54" s="277">
        <f t="shared" si="11"/>
        <v>39454.792000000001</v>
      </c>
      <c r="K54" s="282"/>
      <c r="L54" s="282"/>
      <c r="M54" s="238"/>
      <c r="N54" s="356">
        <f>'7 месяцев'!N54+август!N54</f>
        <v>39454.792000000001</v>
      </c>
      <c r="O54" s="278"/>
    </row>
    <row r="55" spans="1:15" ht="13.5" thickTop="1" thickBot="1">
      <c r="A55" s="862"/>
      <c r="B55" s="275"/>
      <c r="C55" s="276" t="s">
        <v>90</v>
      </c>
      <c r="D55" s="371">
        <f t="shared" si="10"/>
        <v>0</v>
      </c>
      <c r="E55" s="372"/>
      <c r="F55" s="372"/>
      <c r="G55" s="372"/>
      <c r="H55" s="371"/>
      <c r="I55" s="371"/>
      <c r="J55" s="277">
        <f t="shared" si="11"/>
        <v>0</v>
      </c>
      <c r="K55" s="278"/>
      <c r="L55" s="278"/>
      <c r="M55" s="278"/>
      <c r="N55" s="277"/>
      <c r="O55" s="277"/>
    </row>
    <row r="56" spans="1:15" ht="13.5" thickTop="1" thickBot="1">
      <c r="A56" s="862"/>
      <c r="B56" s="275"/>
      <c r="C56" s="276" t="s">
        <v>91</v>
      </c>
      <c r="D56" s="371">
        <f t="shared" si="10"/>
        <v>0</v>
      </c>
      <c r="E56" s="372"/>
      <c r="F56" s="372"/>
      <c r="G56" s="372"/>
      <c r="H56" s="372"/>
      <c r="I56" s="371"/>
      <c r="J56" s="277">
        <f t="shared" si="11"/>
        <v>0</v>
      </c>
      <c r="K56" s="278"/>
      <c r="L56" s="278"/>
      <c r="M56" s="278"/>
      <c r="N56" s="278"/>
      <c r="O56" s="277"/>
    </row>
    <row r="57" spans="1:15" ht="13.5" thickTop="1" thickBot="1">
      <c r="A57" s="862"/>
      <c r="B57" s="263" t="s">
        <v>96</v>
      </c>
      <c r="C57" s="263" t="s">
        <v>97</v>
      </c>
      <c r="D57" s="367">
        <f t="shared" si="10"/>
        <v>4664</v>
      </c>
      <c r="E57" s="367"/>
      <c r="F57" s="367"/>
      <c r="G57" s="367"/>
      <c r="H57" s="356">
        <f>'7 месяцев'!H57+август!H57</f>
        <v>4664</v>
      </c>
      <c r="I57" s="367"/>
      <c r="J57" s="265">
        <f t="shared" si="11"/>
        <v>4059.6631300000004</v>
      </c>
      <c r="K57" s="265"/>
      <c r="L57" s="265"/>
      <c r="M57" s="265"/>
      <c r="N57" s="356">
        <f>'7 месяцев'!N57+август!N57</f>
        <v>4059.6631300000004</v>
      </c>
      <c r="O57" s="265"/>
    </row>
    <row r="58" spans="1:15" ht="13.5" thickTop="1" thickBot="1">
      <c r="A58" s="862"/>
      <c r="B58" s="263" t="s">
        <v>98</v>
      </c>
      <c r="C58" s="263" t="s">
        <v>99</v>
      </c>
      <c r="D58" s="367">
        <f t="shared" si="10"/>
        <v>25890</v>
      </c>
      <c r="E58" s="367"/>
      <c r="F58" s="367"/>
      <c r="G58" s="367"/>
      <c r="H58" s="323">
        <f>H12</f>
        <v>25890</v>
      </c>
      <c r="I58" s="367"/>
      <c r="J58" s="265">
        <f t="shared" si="11"/>
        <v>22603.806</v>
      </c>
      <c r="K58" s="265"/>
      <c r="L58" s="265"/>
      <c r="M58" s="265"/>
      <c r="N58" s="283">
        <f>N12</f>
        <v>22603.806</v>
      </c>
      <c r="O58" s="265"/>
    </row>
    <row r="59" spans="1:15" ht="13.5" thickTop="1" thickBot="1">
      <c r="A59" s="862"/>
      <c r="B59" s="204" t="s">
        <v>171</v>
      </c>
      <c r="C59" s="205" t="s">
        <v>190</v>
      </c>
      <c r="D59" s="325">
        <f t="shared" si="10"/>
        <v>21660</v>
      </c>
      <c r="E59" s="356">
        <f>'7 месяцев'!E59+август!E59</f>
        <v>0</v>
      </c>
      <c r="F59" s="356">
        <f>'7 месяцев'!F59+август!F59</f>
        <v>14150</v>
      </c>
      <c r="G59" s="284"/>
      <c r="H59" s="356">
        <f>'7 месяцев'!H59+август!H59</f>
        <v>2800</v>
      </c>
      <c r="I59" s="356">
        <f>'7 месяцев'!I59+август!I59</f>
        <v>4710</v>
      </c>
      <c r="J59" s="206">
        <f t="shared" si="11"/>
        <v>19256.858</v>
      </c>
      <c r="K59" s="356">
        <f>'7 месяцев'!K59+август!K59</f>
        <v>0</v>
      </c>
      <c r="L59" s="356">
        <f>'7 месяцев'!L59+август!L59</f>
        <v>10244.808000000001</v>
      </c>
      <c r="M59" s="214"/>
      <c r="N59" s="356">
        <f>'7 месяцев'!N59+август!N59</f>
        <v>3904.7370000000001</v>
      </c>
      <c r="O59" s="356">
        <f>'7 месяцев'!O59+август!O59</f>
        <v>5107.3130000000001</v>
      </c>
    </row>
    <row r="60" spans="1:15" ht="13.5" thickTop="1" thickBot="1">
      <c r="A60" s="862"/>
      <c r="B60" s="182" t="s">
        <v>172</v>
      </c>
      <c r="C60" s="182" t="s">
        <v>88</v>
      </c>
      <c r="D60" s="324">
        <f t="shared" si="10"/>
        <v>0</v>
      </c>
      <c r="E60" s="324"/>
      <c r="F60" s="324"/>
      <c r="G60" s="324"/>
      <c r="H60" s="324"/>
      <c r="I60" s="324"/>
      <c r="J60" s="196">
        <f t="shared" si="11"/>
        <v>0</v>
      </c>
      <c r="K60" s="196"/>
      <c r="L60" s="196"/>
      <c r="M60" s="196"/>
      <c r="N60" s="196"/>
      <c r="O60" s="196"/>
    </row>
    <row r="61" spans="1:15" ht="13.5" thickTop="1" thickBot="1">
      <c r="A61" s="862"/>
      <c r="B61" s="207"/>
      <c r="C61" s="208" t="s">
        <v>89</v>
      </c>
      <c r="D61" s="326">
        <f t="shared" si="10"/>
        <v>0</v>
      </c>
      <c r="E61" s="327"/>
      <c r="F61" s="327"/>
      <c r="G61" s="326"/>
      <c r="H61" s="326"/>
      <c r="I61" s="327"/>
      <c r="J61" s="209">
        <f t="shared" si="11"/>
        <v>0</v>
      </c>
      <c r="K61" s="210"/>
      <c r="L61" s="210"/>
      <c r="M61" s="381"/>
      <c r="N61" s="381"/>
      <c r="O61" s="210"/>
    </row>
    <row r="62" spans="1:15" ht="13.5" thickTop="1" thickBot="1">
      <c r="A62" s="862"/>
      <c r="B62" s="207"/>
      <c r="C62" s="208" t="s">
        <v>90</v>
      </c>
      <c r="D62" s="326">
        <f t="shared" si="10"/>
        <v>0</v>
      </c>
      <c r="E62" s="327"/>
      <c r="F62" s="327"/>
      <c r="G62" s="327"/>
      <c r="H62" s="326"/>
      <c r="I62" s="326"/>
      <c r="J62" s="209">
        <f t="shared" si="11"/>
        <v>0</v>
      </c>
      <c r="K62" s="210"/>
      <c r="L62" s="210"/>
      <c r="M62" s="382"/>
      <c r="N62" s="381"/>
      <c r="O62" s="209"/>
    </row>
    <row r="63" spans="1:15" ht="13.5" thickTop="1" thickBot="1">
      <c r="A63" s="862"/>
      <c r="B63" s="207"/>
      <c r="C63" s="208" t="s">
        <v>91</v>
      </c>
      <c r="D63" s="326">
        <f t="shared" si="10"/>
        <v>0</v>
      </c>
      <c r="E63" s="327"/>
      <c r="F63" s="327"/>
      <c r="G63" s="327"/>
      <c r="H63" s="327"/>
      <c r="I63" s="326"/>
      <c r="J63" s="209">
        <f t="shared" si="11"/>
        <v>0</v>
      </c>
      <c r="K63" s="210"/>
      <c r="L63" s="210"/>
      <c r="M63" s="210"/>
      <c r="N63" s="210"/>
      <c r="O63" s="209"/>
    </row>
    <row r="64" spans="1:15" ht="13.5" thickTop="1" thickBot="1">
      <c r="A64" s="862"/>
      <c r="B64" s="182" t="s">
        <v>173</v>
      </c>
      <c r="C64" s="182" t="s">
        <v>93</v>
      </c>
      <c r="D64" s="324">
        <f t="shared" si="10"/>
        <v>0</v>
      </c>
      <c r="E64" s="356">
        <f>'7 месяцев'!E64+август!E64</f>
        <v>0</v>
      </c>
      <c r="F64" s="356">
        <f>'7 месяцев'!F64+август!F64</f>
        <v>0</v>
      </c>
      <c r="G64" s="328"/>
      <c r="H64" s="328"/>
      <c r="I64" s="324"/>
      <c r="J64" s="196">
        <f t="shared" si="11"/>
        <v>0</v>
      </c>
      <c r="K64" s="356">
        <f>'7 месяцев'!K64+август!K64</f>
        <v>0</v>
      </c>
      <c r="L64" s="356">
        <f>'7 месяцев'!L64+август!L64</f>
        <v>0</v>
      </c>
      <c r="M64" s="211"/>
      <c r="N64" s="211"/>
      <c r="O64" s="196"/>
    </row>
    <row r="65" spans="1:16" ht="13.5" thickTop="1" thickBot="1">
      <c r="A65" s="862"/>
      <c r="B65" s="182" t="s">
        <v>174</v>
      </c>
      <c r="C65" s="182" t="s">
        <v>95</v>
      </c>
      <c r="D65" s="330">
        <f t="shared" si="10"/>
        <v>0</v>
      </c>
      <c r="E65" s="356">
        <f>'7 месяцев'!E65+август!E65</f>
        <v>0</v>
      </c>
      <c r="F65" s="326"/>
      <c r="G65" s="326"/>
      <c r="H65" s="326"/>
      <c r="I65" s="324"/>
      <c r="J65" s="213">
        <f t="shared" si="11"/>
        <v>0</v>
      </c>
      <c r="K65" s="356">
        <f>'7 месяцев'!K65+август!K65</f>
        <v>0</v>
      </c>
      <c r="L65" s="209"/>
      <c r="M65" s="209"/>
      <c r="N65" s="209"/>
      <c r="O65" s="196"/>
      <c r="P65" s="318"/>
    </row>
    <row r="66" spans="1:16" ht="13.5" thickTop="1" thickBot="1">
      <c r="A66" s="862"/>
      <c r="B66" s="207"/>
      <c r="C66" s="208" t="s">
        <v>89</v>
      </c>
      <c r="D66" s="326">
        <f t="shared" si="10"/>
        <v>0</v>
      </c>
      <c r="E66" s="327"/>
      <c r="F66" s="327"/>
      <c r="G66" s="326"/>
      <c r="H66" s="326"/>
      <c r="I66" s="327"/>
      <c r="J66" s="209">
        <f t="shared" si="11"/>
        <v>0</v>
      </c>
      <c r="K66" s="210"/>
      <c r="L66" s="210"/>
      <c r="M66" s="209"/>
      <c r="N66" s="209"/>
      <c r="O66" s="210"/>
    </row>
    <row r="67" spans="1:16" ht="13.5" thickTop="1" thickBot="1">
      <c r="A67" s="862"/>
      <c r="B67" s="207"/>
      <c r="C67" s="208" t="s">
        <v>90</v>
      </c>
      <c r="D67" s="326">
        <f t="shared" si="10"/>
        <v>0</v>
      </c>
      <c r="E67" s="327"/>
      <c r="F67" s="327"/>
      <c r="G67" s="327"/>
      <c r="H67" s="326"/>
      <c r="I67" s="326"/>
      <c r="J67" s="209">
        <f t="shared" si="11"/>
        <v>0</v>
      </c>
      <c r="K67" s="210"/>
      <c r="L67" s="210"/>
      <c r="M67" s="210"/>
      <c r="N67" s="209"/>
      <c r="O67" s="209"/>
    </row>
    <row r="68" spans="1:16" ht="13.5" thickTop="1" thickBot="1">
      <c r="A68" s="862"/>
      <c r="B68" s="207"/>
      <c r="C68" s="208" t="s">
        <v>91</v>
      </c>
      <c r="D68" s="326">
        <f t="shared" si="10"/>
        <v>0</v>
      </c>
      <c r="E68" s="327"/>
      <c r="F68" s="327"/>
      <c r="G68" s="327"/>
      <c r="H68" s="327"/>
      <c r="I68" s="326"/>
      <c r="J68" s="209">
        <f t="shared" si="11"/>
        <v>0</v>
      </c>
      <c r="K68" s="210"/>
      <c r="L68" s="210"/>
      <c r="M68" s="210"/>
      <c r="N68" s="210"/>
      <c r="O68" s="209"/>
    </row>
    <row r="69" spans="1:16" ht="13.5" thickTop="1" thickBot="1">
      <c r="A69" s="862"/>
      <c r="B69" s="182" t="s">
        <v>176</v>
      </c>
      <c r="C69" s="182" t="s">
        <v>97</v>
      </c>
      <c r="D69" s="324">
        <f t="shared" si="10"/>
        <v>0</v>
      </c>
      <c r="E69" s="324"/>
      <c r="F69" s="324"/>
      <c r="G69" s="324"/>
      <c r="H69" s="323"/>
      <c r="I69" s="324"/>
      <c r="J69" s="196">
        <f t="shared" si="11"/>
        <v>0</v>
      </c>
      <c r="K69" s="196"/>
      <c r="L69" s="196"/>
      <c r="M69" s="196"/>
      <c r="N69" s="185"/>
      <c r="O69" s="196"/>
    </row>
    <row r="70" spans="1:16" ht="13.5" thickTop="1" thickBot="1">
      <c r="A70" s="862"/>
      <c r="B70" s="182" t="s">
        <v>175</v>
      </c>
      <c r="C70" s="182" t="s">
        <v>99</v>
      </c>
      <c r="D70" s="324">
        <f t="shared" si="10"/>
        <v>0</v>
      </c>
      <c r="E70" s="324"/>
      <c r="F70" s="324"/>
      <c r="G70" s="324"/>
      <c r="H70" s="323"/>
      <c r="I70" s="324"/>
      <c r="J70" s="196">
        <f t="shared" si="11"/>
        <v>0</v>
      </c>
      <c r="K70" s="196"/>
      <c r="L70" s="196"/>
      <c r="M70" s="196"/>
      <c r="N70" s="185"/>
      <c r="O70" s="196"/>
    </row>
    <row r="71" spans="1:16" ht="13.5" thickTop="1" thickBot="1">
      <c r="A71" s="862"/>
      <c r="B71" s="204" t="s">
        <v>177</v>
      </c>
      <c r="C71" s="205" t="s">
        <v>203</v>
      </c>
      <c r="D71" s="325">
        <f t="shared" si="10"/>
        <v>35440</v>
      </c>
      <c r="E71" s="284"/>
      <c r="F71" s="284"/>
      <c r="G71" s="356">
        <f>'7 месяцев'!G71+август!G71</f>
        <v>19440</v>
      </c>
      <c r="H71" s="356">
        <f>'7 месяцев'!H71+август!H71</f>
        <v>16000</v>
      </c>
      <c r="I71" s="284"/>
      <c r="J71" s="206">
        <f t="shared" si="11"/>
        <v>34107.766000000003</v>
      </c>
      <c r="K71" s="284"/>
      <c r="L71" s="284"/>
      <c r="M71" s="356">
        <f>'7 месяцев'!M71+август!M71</f>
        <v>15090.659000000001</v>
      </c>
      <c r="N71" s="356">
        <f>'7 месяцев'!N71+август!N71</f>
        <v>11590.25</v>
      </c>
      <c r="O71" s="356">
        <f>'7 месяцев'!O71+август!O71</f>
        <v>7426.857</v>
      </c>
    </row>
    <row r="72" spans="1:16" ht="13.5" thickTop="1" thickBot="1">
      <c r="A72" s="862"/>
      <c r="B72" s="182" t="s">
        <v>178</v>
      </c>
      <c r="C72" s="182" t="s">
        <v>88</v>
      </c>
      <c r="D72" s="324">
        <f t="shared" si="10"/>
        <v>0</v>
      </c>
      <c r="E72" s="324"/>
      <c r="F72" s="324"/>
      <c r="G72" s="324"/>
      <c r="H72" s="324"/>
      <c r="I72" s="324"/>
      <c r="J72" s="196">
        <f t="shared" si="11"/>
        <v>0</v>
      </c>
      <c r="K72" s="196"/>
      <c r="L72" s="196"/>
      <c r="M72" s="265"/>
      <c r="N72" s="265"/>
      <c r="O72" s="196"/>
    </row>
    <row r="73" spans="1:16" ht="13.5" thickTop="1" thickBot="1">
      <c r="A73" s="862"/>
      <c r="B73" s="207"/>
      <c r="C73" s="208" t="s">
        <v>89</v>
      </c>
      <c r="D73" s="326">
        <f t="shared" si="10"/>
        <v>13562</v>
      </c>
      <c r="E73" s="327"/>
      <c r="F73" s="327"/>
      <c r="G73" s="356">
        <f>'7 месяцев'!G73+август!G73</f>
        <v>4085</v>
      </c>
      <c r="H73" s="356">
        <f>'7 месяцев'!H73+август!H73</f>
        <v>9477</v>
      </c>
      <c r="I73" s="327"/>
      <c r="J73" s="209">
        <f t="shared" si="11"/>
        <v>-22116.634999999998</v>
      </c>
      <c r="K73" s="210"/>
      <c r="L73" s="210"/>
      <c r="M73" s="356">
        <f>'7 месяцев'!M73+август!M73</f>
        <v>835.88500000000113</v>
      </c>
      <c r="N73" s="356">
        <f>'7 месяцев'!N73+август!N73</f>
        <v>-22952.52</v>
      </c>
      <c r="O73" s="210"/>
    </row>
    <row r="74" spans="1:16" ht="13.5" thickTop="1" thickBot="1">
      <c r="A74" s="862"/>
      <c r="B74" s="207"/>
      <c r="C74" s="208" t="s">
        <v>90</v>
      </c>
      <c r="D74" s="326">
        <f t="shared" si="10"/>
        <v>0</v>
      </c>
      <c r="E74" s="327"/>
      <c r="F74" s="327"/>
      <c r="G74" s="327"/>
      <c r="H74" s="326"/>
      <c r="I74" s="326"/>
      <c r="J74" s="209">
        <f t="shared" si="11"/>
        <v>0</v>
      </c>
      <c r="K74" s="210"/>
      <c r="L74" s="210"/>
      <c r="M74" s="210"/>
      <c r="N74" s="320"/>
      <c r="O74" s="209"/>
    </row>
    <row r="75" spans="1:16" ht="13.5" thickTop="1" thickBot="1">
      <c r="A75" s="862"/>
      <c r="B75" s="207"/>
      <c r="C75" s="208" t="s">
        <v>91</v>
      </c>
      <c r="D75" s="326">
        <f t="shared" si="10"/>
        <v>0</v>
      </c>
      <c r="E75" s="327"/>
      <c r="F75" s="327"/>
      <c r="G75" s="327"/>
      <c r="H75" s="327"/>
      <c r="I75" s="326"/>
      <c r="J75" s="209">
        <f t="shared" si="11"/>
        <v>0</v>
      </c>
      <c r="K75" s="210"/>
      <c r="L75" s="210"/>
      <c r="M75" s="210"/>
      <c r="N75" s="210"/>
      <c r="O75" s="209"/>
    </row>
    <row r="76" spans="1:16" ht="13.5" thickTop="1" thickBot="1">
      <c r="A76" s="862"/>
      <c r="B76" s="182" t="s">
        <v>179</v>
      </c>
      <c r="C76" s="182" t="s">
        <v>93</v>
      </c>
      <c r="D76" s="324">
        <f t="shared" si="10"/>
        <v>0</v>
      </c>
      <c r="E76" s="324"/>
      <c r="F76" s="324"/>
      <c r="G76" s="328"/>
      <c r="H76" s="328"/>
      <c r="I76" s="324"/>
      <c r="J76" s="196">
        <f t="shared" si="11"/>
        <v>0</v>
      </c>
      <c r="K76" s="196"/>
      <c r="L76" s="196"/>
      <c r="M76" s="211"/>
      <c r="N76" s="211"/>
      <c r="O76" s="196"/>
    </row>
    <row r="77" spans="1:16" ht="13.5" thickTop="1" thickBot="1">
      <c r="A77" s="862"/>
      <c r="B77" s="182" t="s">
        <v>180</v>
      </c>
      <c r="C77" s="182" t="s">
        <v>95</v>
      </c>
      <c r="D77" s="330">
        <f t="shared" si="10"/>
        <v>0</v>
      </c>
      <c r="E77" s="380"/>
      <c r="F77" s="326"/>
      <c r="G77" s="356"/>
      <c r="H77" s="356"/>
      <c r="I77" s="324"/>
      <c r="J77" s="213"/>
      <c r="K77" s="383"/>
      <c r="L77" s="209"/>
      <c r="M77" s="356"/>
      <c r="N77" s="356"/>
      <c r="O77" s="196"/>
    </row>
    <row r="78" spans="1:16" ht="13.5" thickTop="1" thickBot="1">
      <c r="A78" s="862"/>
      <c r="B78" s="207"/>
      <c r="C78" s="208" t="s">
        <v>89</v>
      </c>
      <c r="D78" s="326">
        <f t="shared" ref="D78:D147" si="12">SUM(E78:I78)</f>
        <v>21878</v>
      </c>
      <c r="E78" s="327"/>
      <c r="F78" s="327"/>
      <c r="G78" s="356">
        <f>'7 месяцев'!G78+август!G78</f>
        <v>15355</v>
      </c>
      <c r="H78" s="356">
        <f>'7 месяцев'!H78+август!H78</f>
        <v>6523</v>
      </c>
      <c r="I78" s="327"/>
      <c r="J78" s="209">
        <f t="shared" ref="J78:J147" si="13">SUM(K78:O78)</f>
        <v>22940.286999999997</v>
      </c>
      <c r="K78" s="210"/>
      <c r="L78" s="210"/>
      <c r="M78" s="356">
        <f>'7 месяцев'!M78+август!M78</f>
        <v>14254.773999999999</v>
      </c>
      <c r="N78" s="356">
        <f>'7 месяцев'!N78+август!N78</f>
        <v>8685.512999999999</v>
      </c>
      <c r="O78" s="210"/>
    </row>
    <row r="79" spans="1:16" ht="13.5" thickTop="1" thickBot="1">
      <c r="A79" s="862"/>
      <c r="B79" s="207"/>
      <c r="C79" s="208" t="s">
        <v>90</v>
      </c>
      <c r="D79" s="326">
        <f t="shared" si="12"/>
        <v>0</v>
      </c>
      <c r="E79" s="327"/>
      <c r="F79" s="327"/>
      <c r="G79" s="327"/>
      <c r="H79" s="326"/>
      <c r="I79" s="326"/>
      <c r="J79" s="209">
        <f t="shared" si="13"/>
        <v>0</v>
      </c>
      <c r="K79" s="210"/>
      <c r="L79" s="210"/>
      <c r="M79" s="210"/>
      <c r="N79" s="209"/>
      <c r="O79" s="209"/>
    </row>
    <row r="80" spans="1:16" ht="13.5" thickTop="1" thickBot="1">
      <c r="A80" s="862"/>
      <c r="B80" s="207"/>
      <c r="C80" s="208" t="s">
        <v>91</v>
      </c>
      <c r="D80" s="326">
        <f t="shared" si="12"/>
        <v>0</v>
      </c>
      <c r="E80" s="327"/>
      <c r="F80" s="327"/>
      <c r="G80" s="327"/>
      <c r="H80" s="327"/>
      <c r="I80" s="326"/>
      <c r="J80" s="209">
        <f t="shared" si="13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324">
        <f t="shared" si="12"/>
        <v>0</v>
      </c>
      <c r="E81" s="324"/>
      <c r="F81" s="324"/>
      <c r="G81" s="324"/>
      <c r="H81" s="323"/>
      <c r="I81" s="324"/>
      <c r="J81" s="196">
        <f t="shared" si="13"/>
        <v>0</v>
      </c>
      <c r="K81" s="196"/>
      <c r="L81" s="196"/>
      <c r="M81" s="196"/>
      <c r="N81" s="185"/>
      <c r="O81" s="196"/>
    </row>
    <row r="82" spans="1:15" ht="13.5" thickTop="1" thickBot="1">
      <c r="A82" s="862"/>
      <c r="B82" s="182" t="s">
        <v>182</v>
      </c>
      <c r="C82" s="182" t="s">
        <v>99</v>
      </c>
      <c r="D82" s="324">
        <f t="shared" si="12"/>
        <v>0</v>
      </c>
      <c r="E82" s="324"/>
      <c r="F82" s="324"/>
      <c r="G82" s="324"/>
      <c r="H82" s="323"/>
      <c r="I82" s="324"/>
      <c r="J82" s="196">
        <f t="shared" si="13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325">
        <f t="shared" si="12"/>
        <v>556400</v>
      </c>
      <c r="E83" s="284"/>
      <c r="F83" s="356">
        <f>'7 месяцев'!F83+август!F83</f>
        <v>556400</v>
      </c>
      <c r="G83" s="284"/>
      <c r="H83" s="284"/>
      <c r="I83" s="284"/>
      <c r="J83" s="206">
        <f t="shared" si="13"/>
        <v>523338.58799999999</v>
      </c>
      <c r="K83" s="284"/>
      <c r="L83" s="356">
        <f>'7 месяцев'!L83+август!L83</f>
        <v>523338.58799999999</v>
      </c>
      <c r="M83" s="214"/>
      <c r="N83" s="214"/>
      <c r="O83" s="214"/>
    </row>
    <row r="84" spans="1:15" ht="13.5" thickTop="1" thickBot="1">
      <c r="A84" s="862"/>
      <c r="B84" s="182" t="s">
        <v>184</v>
      </c>
      <c r="C84" s="182" t="s">
        <v>88</v>
      </c>
      <c r="D84" s="324">
        <f t="shared" si="12"/>
        <v>0</v>
      </c>
      <c r="E84" s="324"/>
      <c r="F84" s="324"/>
      <c r="G84" s="324"/>
      <c r="H84" s="324"/>
      <c r="I84" s="324"/>
      <c r="J84" s="196">
        <f t="shared" si="13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326">
        <f t="shared" si="12"/>
        <v>0</v>
      </c>
      <c r="E85" s="327"/>
      <c r="F85" s="327"/>
      <c r="G85" s="326"/>
      <c r="H85" s="326"/>
      <c r="I85" s="327"/>
      <c r="J85" s="209">
        <f t="shared" si="13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326">
        <f t="shared" si="12"/>
        <v>0</v>
      </c>
      <c r="E86" s="327"/>
      <c r="F86" s="327"/>
      <c r="G86" s="327"/>
      <c r="H86" s="326"/>
      <c r="I86" s="326"/>
      <c r="J86" s="209">
        <f t="shared" si="13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326">
        <f t="shared" si="12"/>
        <v>0</v>
      </c>
      <c r="E87" s="327"/>
      <c r="F87" s="327"/>
      <c r="G87" s="327"/>
      <c r="H87" s="327"/>
      <c r="I87" s="326"/>
      <c r="J87" s="209">
        <f t="shared" si="13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324">
        <f t="shared" si="12"/>
        <v>0</v>
      </c>
      <c r="E88" s="324"/>
      <c r="F88" s="324"/>
      <c r="G88" s="328"/>
      <c r="H88" s="328"/>
      <c r="I88" s="324"/>
      <c r="J88" s="196">
        <f t="shared" si="13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330">
        <f t="shared" si="12"/>
        <v>233159</v>
      </c>
      <c r="E89" s="380"/>
      <c r="F89" s="356">
        <f>'7 месяцев'!F89+август!F89</f>
        <v>233159</v>
      </c>
      <c r="G89" s="326"/>
      <c r="H89" s="326"/>
      <c r="I89" s="324"/>
      <c r="J89" s="213">
        <f t="shared" si="13"/>
        <v>205720.90000000002</v>
      </c>
      <c r="K89" s="383"/>
      <c r="L89" s="356">
        <f>'7 месяцев'!L89+август!L89</f>
        <v>205720.90000000002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326">
        <f t="shared" si="12"/>
        <v>0</v>
      </c>
      <c r="E90" s="327"/>
      <c r="F90" s="327"/>
      <c r="G90" s="326"/>
      <c r="H90" s="326"/>
      <c r="I90" s="327"/>
      <c r="J90" s="209">
        <f t="shared" si="13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326">
        <f t="shared" si="12"/>
        <v>0</v>
      </c>
      <c r="E91" s="327"/>
      <c r="F91" s="327"/>
      <c r="G91" s="327"/>
      <c r="H91" s="326"/>
      <c r="I91" s="326"/>
      <c r="J91" s="209">
        <f t="shared" si="13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326">
        <f t="shared" si="12"/>
        <v>0</v>
      </c>
      <c r="E92" s="327"/>
      <c r="F92" s="327"/>
      <c r="G92" s="327"/>
      <c r="H92" s="327"/>
      <c r="I92" s="326"/>
      <c r="J92" s="209">
        <f t="shared" si="13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324">
        <f t="shared" si="12"/>
        <v>0</v>
      </c>
      <c r="E93" s="324"/>
      <c r="F93" s="324"/>
      <c r="G93" s="324"/>
      <c r="H93" s="323"/>
      <c r="I93" s="324"/>
      <c r="J93" s="196">
        <f t="shared" si="13"/>
        <v>0</v>
      </c>
      <c r="K93" s="196"/>
      <c r="L93" s="196"/>
      <c r="M93" s="196"/>
      <c r="N93" s="185"/>
      <c r="O93" s="196"/>
    </row>
    <row r="94" spans="1:15" ht="13.5" thickTop="1" thickBot="1">
      <c r="A94" s="862"/>
      <c r="B94" s="182" t="s">
        <v>188</v>
      </c>
      <c r="C94" s="182" t="s">
        <v>99</v>
      </c>
      <c r="D94" s="324">
        <f t="shared" si="12"/>
        <v>0</v>
      </c>
      <c r="E94" s="324"/>
      <c r="F94" s="324"/>
      <c r="G94" s="324"/>
      <c r="H94" s="323"/>
      <c r="I94" s="324"/>
      <c r="J94" s="196">
        <f t="shared" si="13"/>
        <v>0</v>
      </c>
      <c r="K94" s="196"/>
      <c r="L94" s="196"/>
      <c r="M94" s="196"/>
      <c r="N94" s="196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>
        <f t="shared" ref="D95:D106" si="14">SUM(E95:I95)</f>
        <v>39520</v>
      </c>
      <c r="E95" s="284"/>
      <c r="F95" s="325"/>
      <c r="G95" s="284"/>
      <c r="H95" s="370">
        <f>'7 месяцев'!H95+август!H95</f>
        <v>39520</v>
      </c>
      <c r="I95" s="284"/>
      <c r="J95" s="206">
        <f t="shared" ref="J95:J106" si="15">SUM(K95:O95)</f>
        <v>23075.928000000004</v>
      </c>
      <c r="K95" s="284"/>
      <c r="L95" s="325"/>
      <c r="M95" s="214"/>
      <c r="N95" s="370">
        <f>'7 месяцев'!N95+август!N95</f>
        <v>23075.928000000004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4"/>
        <v>0</v>
      </c>
      <c r="E96" s="324"/>
      <c r="F96" s="324"/>
      <c r="G96" s="324"/>
      <c r="H96" s="693"/>
      <c r="I96" s="324"/>
      <c r="J96" s="196">
        <f t="shared" si="15"/>
        <v>0</v>
      </c>
      <c r="K96" s="196"/>
      <c r="L96" s="196"/>
      <c r="M96" s="196"/>
      <c r="N96" s="693"/>
      <c r="O96" s="196"/>
    </row>
    <row r="97" spans="1:15" ht="13.5" thickTop="1" thickBot="1">
      <c r="A97" s="862"/>
      <c r="B97" s="207"/>
      <c r="C97" s="208" t="s">
        <v>89</v>
      </c>
      <c r="D97" s="326">
        <f t="shared" si="14"/>
        <v>12560</v>
      </c>
      <c r="E97" s="327"/>
      <c r="F97" s="327"/>
      <c r="G97" s="326"/>
      <c r="H97" s="370">
        <f>'7 месяцев'!H97+август!H97</f>
        <v>12560</v>
      </c>
      <c r="I97" s="327"/>
      <c r="J97" s="209">
        <f t="shared" si="15"/>
        <v>4969.1880000000001</v>
      </c>
      <c r="K97" s="210"/>
      <c r="L97" s="210"/>
      <c r="M97" s="209"/>
      <c r="N97" s="370">
        <f>'7 месяцев'!N97+август!N97</f>
        <v>4969.1880000000001</v>
      </c>
      <c r="O97" s="210"/>
    </row>
    <row r="98" spans="1:15" ht="13.5" thickTop="1" thickBot="1">
      <c r="A98" s="862"/>
      <c r="B98" s="207"/>
      <c r="C98" s="208" t="s">
        <v>90</v>
      </c>
      <c r="D98" s="326">
        <f t="shared" si="14"/>
        <v>16470</v>
      </c>
      <c r="E98" s="327"/>
      <c r="F98" s="327"/>
      <c r="G98" s="327"/>
      <c r="H98" s="370">
        <f>'7 месяцев'!H98+август!H98</f>
        <v>16470</v>
      </c>
      <c r="I98" s="326"/>
      <c r="J98" s="209">
        <f t="shared" si="15"/>
        <v>7109.2959999999994</v>
      </c>
      <c r="K98" s="210"/>
      <c r="L98" s="210"/>
      <c r="M98" s="210"/>
      <c r="N98" s="370">
        <f>'7 месяцев'!N98+август!N98</f>
        <v>7109.2959999999994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4"/>
        <v>0</v>
      </c>
      <c r="E99" s="327"/>
      <c r="F99" s="327"/>
      <c r="G99" s="327"/>
      <c r="H99" s="327"/>
      <c r="I99" s="326"/>
      <c r="J99" s="209">
        <f t="shared" si="15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4"/>
        <v>0</v>
      </c>
      <c r="E100" s="324"/>
      <c r="F100" s="324"/>
      <c r="G100" s="328"/>
      <c r="H100" s="328"/>
      <c r="I100" s="324"/>
      <c r="J100" s="196">
        <f t="shared" si="15"/>
        <v>0</v>
      </c>
      <c r="K100" s="196"/>
      <c r="L100" s="196"/>
      <c r="M100" s="211"/>
      <c r="N100" s="356">
        <f>'7 месяцев'!N100+август!N100</f>
        <v>0</v>
      </c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4"/>
        <v>0</v>
      </c>
      <c r="E101" s="380"/>
      <c r="F101" s="331"/>
      <c r="G101" s="326"/>
      <c r="H101" s="326"/>
      <c r="I101" s="324"/>
      <c r="J101" s="213">
        <f t="shared" si="15"/>
        <v>0</v>
      </c>
      <c r="K101" s="383"/>
      <c r="L101" s="320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4"/>
        <v>0</v>
      </c>
      <c r="E102" s="327"/>
      <c r="F102" s="327"/>
      <c r="G102" s="326"/>
      <c r="H102" s="326"/>
      <c r="I102" s="327"/>
      <c r="J102" s="209">
        <f t="shared" si="15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4"/>
        <v>0</v>
      </c>
      <c r="E103" s="327"/>
      <c r="F103" s="327"/>
      <c r="G103" s="327"/>
      <c r="H103" s="326"/>
      <c r="I103" s="326"/>
      <c r="J103" s="209">
        <f t="shared" si="15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4"/>
        <v>0</v>
      </c>
      <c r="E104" s="327"/>
      <c r="F104" s="327"/>
      <c r="G104" s="327"/>
      <c r="H104" s="327"/>
      <c r="I104" s="326"/>
      <c r="J104" s="209">
        <f t="shared" si="15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4"/>
        <v>0</v>
      </c>
      <c r="E105" s="324"/>
      <c r="F105" s="324"/>
      <c r="G105" s="324"/>
      <c r="H105" s="323"/>
      <c r="I105" s="324"/>
      <c r="J105" s="196">
        <f t="shared" si="15"/>
        <v>0</v>
      </c>
      <c r="K105" s="196"/>
      <c r="L105" s="196"/>
      <c r="M105" s="196"/>
      <c r="N105" s="185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4"/>
        <v>0</v>
      </c>
      <c r="E106" s="324"/>
      <c r="F106" s="324"/>
      <c r="G106" s="324"/>
      <c r="H106" s="323"/>
      <c r="I106" s="324"/>
      <c r="J106" s="196">
        <f t="shared" si="15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>
        <f t="shared" ref="D107:D118" si="16">SUM(E107:I107)</f>
        <v>0</v>
      </c>
      <c r="E107" s="284"/>
      <c r="F107" s="325"/>
      <c r="G107" s="284"/>
      <c r="H107" s="356">
        <f>'7 месяцев'!H107+август!H107</f>
        <v>0</v>
      </c>
      <c r="I107" s="284"/>
      <c r="J107" s="206">
        <f t="shared" ref="J107:J118" si="17">SUM(K107:O107)</f>
        <v>3931.6420000000003</v>
      </c>
      <c r="K107" s="284"/>
      <c r="L107" s="325"/>
      <c r="M107" s="214"/>
      <c r="N107" s="356">
        <f>'7 месяцев'!N107+август!N107</f>
        <v>3931.6420000000003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6"/>
        <v>0</v>
      </c>
      <c r="E108" s="324"/>
      <c r="F108" s="324"/>
      <c r="G108" s="324"/>
      <c r="H108" s="324"/>
      <c r="I108" s="324"/>
      <c r="J108" s="196">
        <f t="shared" si="17"/>
        <v>0</v>
      </c>
      <c r="K108" s="196"/>
      <c r="L108" s="196"/>
      <c r="M108" s="196"/>
      <c r="N108" s="196"/>
      <c r="O108" s="196"/>
    </row>
    <row r="109" spans="1:15" ht="13.5" thickTop="1" thickBot="1">
      <c r="A109" s="862"/>
      <c r="B109" s="207"/>
      <c r="C109" s="208" t="s">
        <v>89</v>
      </c>
      <c r="D109" s="326">
        <f t="shared" si="16"/>
        <v>0</v>
      </c>
      <c r="E109" s="327"/>
      <c r="F109" s="327"/>
      <c r="G109" s="326"/>
      <c r="H109" s="356">
        <f>'7 месяцев'!H109+август!H109</f>
        <v>0</v>
      </c>
      <c r="I109" s="327"/>
      <c r="J109" s="209">
        <f t="shared" si="17"/>
        <v>3931.6420000000003</v>
      </c>
      <c r="K109" s="210"/>
      <c r="L109" s="210"/>
      <c r="M109" s="209"/>
      <c r="N109" s="356">
        <f>'7 месяцев'!N109+август!N109</f>
        <v>3931.6420000000003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6"/>
        <v>0</v>
      </c>
      <c r="E110" s="327"/>
      <c r="F110" s="327"/>
      <c r="G110" s="327"/>
      <c r="H110" s="339"/>
      <c r="I110" s="326"/>
      <c r="J110" s="209">
        <f t="shared" si="17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6"/>
        <v>0</v>
      </c>
      <c r="E111" s="327"/>
      <c r="F111" s="327"/>
      <c r="G111" s="327"/>
      <c r="H111" s="327"/>
      <c r="I111" s="326"/>
      <c r="J111" s="209">
        <f t="shared" si="17"/>
        <v>0</v>
      </c>
      <c r="K111" s="210"/>
      <c r="L111" s="210"/>
      <c r="M111" s="210"/>
      <c r="N111" s="210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6"/>
        <v>0</v>
      </c>
      <c r="E112" s="324"/>
      <c r="F112" s="324"/>
      <c r="G112" s="328"/>
      <c r="H112" s="328"/>
      <c r="I112" s="324"/>
      <c r="J112" s="196">
        <f t="shared" si="17"/>
        <v>0</v>
      </c>
      <c r="K112" s="196"/>
      <c r="L112" s="196"/>
      <c r="M112" s="211"/>
      <c r="N112" s="211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6"/>
        <v>0</v>
      </c>
      <c r="E113" s="380"/>
      <c r="F113" s="331"/>
      <c r="G113" s="326"/>
      <c r="H113" s="326"/>
      <c r="I113" s="324"/>
      <c r="J113" s="213">
        <f t="shared" si="17"/>
        <v>0</v>
      </c>
      <c r="K113" s="383"/>
      <c r="L113" s="320"/>
      <c r="M113" s="209"/>
      <c r="N113" s="209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6"/>
        <v>0</v>
      </c>
      <c r="E114" s="327"/>
      <c r="F114" s="327"/>
      <c r="G114" s="326"/>
      <c r="H114" s="326"/>
      <c r="I114" s="327"/>
      <c r="J114" s="209">
        <f t="shared" si="17"/>
        <v>0</v>
      </c>
      <c r="K114" s="210"/>
      <c r="L114" s="210"/>
      <c r="M114" s="209"/>
      <c r="N114" s="209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6"/>
        <v>0</v>
      </c>
      <c r="E115" s="327"/>
      <c r="F115" s="327"/>
      <c r="G115" s="327"/>
      <c r="H115" s="326"/>
      <c r="I115" s="326"/>
      <c r="J115" s="209">
        <f t="shared" si="17"/>
        <v>0</v>
      </c>
      <c r="K115" s="210"/>
      <c r="L115" s="210"/>
      <c r="M115" s="210"/>
      <c r="N115" s="209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6"/>
        <v>0</v>
      </c>
      <c r="E116" s="327"/>
      <c r="F116" s="327"/>
      <c r="G116" s="327"/>
      <c r="H116" s="327"/>
      <c r="I116" s="326"/>
      <c r="J116" s="209">
        <f t="shared" si="17"/>
        <v>0</v>
      </c>
      <c r="K116" s="210"/>
      <c r="L116" s="210"/>
      <c r="M116" s="210"/>
      <c r="N116" s="210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6"/>
        <v>0</v>
      </c>
      <c r="E117" s="324"/>
      <c r="F117" s="324"/>
      <c r="G117" s="324"/>
      <c r="H117" s="324"/>
      <c r="I117" s="324"/>
      <c r="J117" s="196">
        <f t="shared" si="17"/>
        <v>0</v>
      </c>
      <c r="K117" s="196"/>
      <c r="L117" s="196"/>
      <c r="M117" s="196"/>
      <c r="N117" s="185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6"/>
        <v>0</v>
      </c>
      <c r="E118" s="324"/>
      <c r="F118" s="324"/>
      <c r="G118" s="324"/>
      <c r="H118" s="323"/>
      <c r="I118" s="324"/>
      <c r="J118" s="196">
        <f t="shared" si="17"/>
        <v>0</v>
      </c>
      <c r="K118" s="196"/>
      <c r="L118" s="196"/>
      <c r="M118" s="196"/>
      <c r="N118" s="196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>
        <f t="shared" ref="D119:D130" si="18">SUM(E119:I119)</f>
        <v>0</v>
      </c>
      <c r="E119" s="284"/>
      <c r="F119" s="325"/>
      <c r="G119" s="284"/>
      <c r="H119" s="356">
        <f>'7 месяцев'!H119+август!H119</f>
        <v>0</v>
      </c>
      <c r="I119" s="284"/>
      <c r="J119" s="206">
        <f t="shared" ref="J119:J130" si="19">SUM(K119:O119)</f>
        <v>1831.1579999999999</v>
      </c>
      <c r="K119" s="284"/>
      <c r="L119" s="325"/>
      <c r="M119" s="214"/>
      <c r="N119" s="356">
        <f>'7 месяцев'!N119+август!N119</f>
        <v>1831.1579999999999</v>
      </c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18"/>
        <v>0</v>
      </c>
      <c r="E120" s="324"/>
      <c r="F120" s="324"/>
      <c r="G120" s="324"/>
      <c r="H120" s="196"/>
      <c r="I120" s="324"/>
      <c r="J120" s="196">
        <f t="shared" si="19"/>
        <v>0</v>
      </c>
      <c r="K120" s="196"/>
      <c r="L120" s="196"/>
      <c r="M120" s="196"/>
      <c r="N120" s="196"/>
      <c r="O120" s="196"/>
    </row>
    <row r="121" spans="1:15" ht="13.5" thickTop="1" thickBot="1">
      <c r="A121" s="862"/>
      <c r="B121" s="207"/>
      <c r="C121" s="208" t="s">
        <v>89</v>
      </c>
      <c r="D121" s="326">
        <f t="shared" si="18"/>
        <v>0</v>
      </c>
      <c r="E121" s="327"/>
      <c r="F121" s="327"/>
      <c r="G121" s="326"/>
      <c r="H121" s="356">
        <f>'7 месяцев'!H121+август!H121</f>
        <v>0</v>
      </c>
      <c r="I121" s="327"/>
      <c r="J121" s="209">
        <f t="shared" si="19"/>
        <v>1831.1579999999999</v>
      </c>
      <c r="K121" s="210"/>
      <c r="L121" s="210"/>
      <c r="M121" s="209"/>
      <c r="N121" s="356">
        <f>'7 месяцев'!N121+август!N121</f>
        <v>1831.1579999999999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18"/>
        <v>0</v>
      </c>
      <c r="E122" s="327"/>
      <c r="F122" s="327"/>
      <c r="G122" s="327"/>
      <c r="H122" s="339"/>
      <c r="I122" s="326"/>
      <c r="J122" s="209">
        <f t="shared" si="19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18"/>
        <v>0</v>
      </c>
      <c r="E123" s="327"/>
      <c r="F123" s="327"/>
      <c r="G123" s="327"/>
      <c r="H123" s="327"/>
      <c r="I123" s="326"/>
      <c r="J123" s="209">
        <f t="shared" si="19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18"/>
        <v>0</v>
      </c>
      <c r="E124" s="324"/>
      <c r="F124" s="324"/>
      <c r="G124" s="328"/>
      <c r="H124" s="328"/>
      <c r="I124" s="324"/>
      <c r="J124" s="196">
        <f t="shared" si="19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18"/>
        <v>0</v>
      </c>
      <c r="E125" s="380"/>
      <c r="F125" s="331"/>
      <c r="G125" s="326"/>
      <c r="H125" s="326"/>
      <c r="I125" s="324"/>
      <c r="J125" s="213">
        <f t="shared" si="19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18"/>
        <v>0</v>
      </c>
      <c r="E126" s="327"/>
      <c r="F126" s="327"/>
      <c r="G126" s="326"/>
      <c r="H126" s="326"/>
      <c r="I126" s="327"/>
      <c r="J126" s="209">
        <f t="shared" si="19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18"/>
        <v>0</v>
      </c>
      <c r="E127" s="327"/>
      <c r="F127" s="327"/>
      <c r="G127" s="327"/>
      <c r="H127" s="326"/>
      <c r="I127" s="326"/>
      <c r="J127" s="209">
        <f t="shared" si="19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18"/>
        <v>0</v>
      </c>
      <c r="E128" s="327"/>
      <c r="F128" s="327"/>
      <c r="G128" s="327"/>
      <c r="H128" s="327"/>
      <c r="I128" s="326"/>
      <c r="J128" s="209">
        <f t="shared" si="19"/>
        <v>0</v>
      </c>
      <c r="K128" s="210"/>
      <c r="L128" s="210"/>
      <c r="M128" s="210"/>
      <c r="N128" s="210"/>
      <c r="O128" s="209"/>
    </row>
    <row r="129" spans="1:16" ht="13.5" thickTop="1" thickBot="1">
      <c r="A129" s="862"/>
      <c r="B129" s="182" t="s">
        <v>246</v>
      </c>
      <c r="C129" s="182" t="s">
        <v>97</v>
      </c>
      <c r="D129" s="324">
        <f t="shared" si="18"/>
        <v>0</v>
      </c>
      <c r="E129" s="324"/>
      <c r="F129" s="324"/>
      <c r="G129" s="324"/>
      <c r="H129" s="324"/>
      <c r="I129" s="324"/>
      <c r="J129" s="196">
        <f t="shared" si="19"/>
        <v>0</v>
      </c>
      <c r="K129" s="196"/>
      <c r="L129" s="196"/>
      <c r="M129" s="196"/>
      <c r="N129" s="185"/>
      <c r="O129" s="196"/>
    </row>
    <row r="130" spans="1:16" ht="13.5" thickTop="1" thickBot="1">
      <c r="A130" s="862"/>
      <c r="B130" s="182" t="s">
        <v>247</v>
      </c>
      <c r="C130" s="182" t="s">
        <v>99</v>
      </c>
      <c r="D130" s="324">
        <f t="shared" si="18"/>
        <v>0</v>
      </c>
      <c r="E130" s="324"/>
      <c r="F130" s="324"/>
      <c r="G130" s="324"/>
      <c r="H130" s="323"/>
      <c r="I130" s="324"/>
      <c r="J130" s="196">
        <f t="shared" si="19"/>
        <v>0</v>
      </c>
      <c r="K130" s="196"/>
      <c r="L130" s="196"/>
      <c r="M130" s="196"/>
      <c r="N130" s="196"/>
      <c r="O130" s="196"/>
    </row>
    <row r="131" spans="1:16" ht="13.5" thickTop="1" thickBot="1">
      <c r="A131" s="862"/>
      <c r="B131" s="204" t="s">
        <v>250</v>
      </c>
      <c r="C131" s="595" t="s">
        <v>249</v>
      </c>
      <c r="D131" s="325">
        <f t="shared" ref="D131:D142" si="20">SUM(E131:I131)</f>
        <v>0</v>
      </c>
      <c r="E131" s="284"/>
      <c r="F131" s="325"/>
      <c r="G131" s="284"/>
      <c r="H131" s="356">
        <f>'7 месяцев'!H131+август!H131</f>
        <v>0</v>
      </c>
      <c r="I131" s="356">
        <f>'7 месяцев'!I131+август!I131</f>
        <v>0</v>
      </c>
      <c r="J131" s="206">
        <f t="shared" ref="J131:J142" si="21">SUM(K131:O131)</f>
        <v>175.078</v>
      </c>
      <c r="K131" s="284"/>
      <c r="L131" s="325"/>
      <c r="M131" s="214"/>
      <c r="N131" s="356">
        <f>'7 месяцев'!N131+август!N131</f>
        <v>129.49600000000001</v>
      </c>
      <c r="O131" s="356">
        <f>'7 месяцев'!O131+август!O131</f>
        <v>45.582000000000001</v>
      </c>
    </row>
    <row r="132" spans="1:16" ht="13.5" thickTop="1" thickBot="1">
      <c r="A132" s="862"/>
      <c r="B132" s="182" t="s">
        <v>251</v>
      </c>
      <c r="C132" s="182" t="s">
        <v>88</v>
      </c>
      <c r="D132" s="324">
        <f t="shared" si="20"/>
        <v>0</v>
      </c>
      <c r="E132" s="324"/>
      <c r="F132" s="324"/>
      <c r="G132" s="324"/>
      <c r="H132" s="324"/>
      <c r="I132" s="324"/>
      <c r="J132" s="196">
        <f t="shared" si="21"/>
        <v>0</v>
      </c>
      <c r="K132" s="196"/>
      <c r="L132" s="196"/>
      <c r="M132" s="196"/>
      <c r="N132" s="196"/>
      <c r="O132" s="196"/>
    </row>
    <row r="133" spans="1:16" ht="13.5" thickTop="1" thickBot="1">
      <c r="A133" s="862"/>
      <c r="B133" s="207"/>
      <c r="C133" s="208" t="s">
        <v>89</v>
      </c>
      <c r="D133" s="326">
        <f t="shared" si="20"/>
        <v>0</v>
      </c>
      <c r="E133" s="327"/>
      <c r="F133" s="327"/>
      <c r="G133" s="326"/>
      <c r="H133" s="339"/>
      <c r="I133" s="327"/>
      <c r="J133" s="209">
        <f t="shared" si="21"/>
        <v>0</v>
      </c>
      <c r="K133" s="210"/>
      <c r="L133" s="210"/>
      <c r="M133" s="209"/>
      <c r="N133" s="339"/>
      <c r="O133" s="210"/>
    </row>
    <row r="134" spans="1:16" ht="13.5" thickTop="1" thickBot="1">
      <c r="A134" s="862"/>
      <c r="B134" s="207"/>
      <c r="C134" s="208" t="s">
        <v>90</v>
      </c>
      <c r="D134" s="326">
        <f t="shared" si="20"/>
        <v>0</v>
      </c>
      <c r="E134" s="327"/>
      <c r="F134" s="327"/>
      <c r="G134" s="327"/>
      <c r="H134" s="339"/>
      <c r="I134" s="326"/>
      <c r="J134" s="209">
        <f t="shared" si="21"/>
        <v>0</v>
      </c>
      <c r="K134" s="210"/>
      <c r="L134" s="210"/>
      <c r="M134" s="210"/>
      <c r="N134" s="699"/>
      <c r="O134" s="209"/>
    </row>
    <row r="135" spans="1:16" ht="13.5" thickTop="1" thickBot="1">
      <c r="A135" s="862"/>
      <c r="B135" s="207"/>
      <c r="C135" s="208" t="s">
        <v>91</v>
      </c>
      <c r="D135" s="326">
        <f t="shared" si="20"/>
        <v>0</v>
      </c>
      <c r="E135" s="327"/>
      <c r="F135" s="327"/>
      <c r="G135" s="327"/>
      <c r="H135" s="327"/>
      <c r="I135" s="326"/>
      <c r="J135" s="209">
        <f t="shared" si="21"/>
        <v>0</v>
      </c>
      <c r="K135" s="210"/>
      <c r="L135" s="210"/>
      <c r="M135" s="210"/>
      <c r="N135" s="210"/>
      <c r="O135" s="209"/>
    </row>
    <row r="136" spans="1:16" ht="13.5" thickTop="1" thickBot="1">
      <c r="A136" s="862"/>
      <c r="B136" s="182" t="s">
        <v>252</v>
      </c>
      <c r="C136" s="182" t="s">
        <v>93</v>
      </c>
      <c r="D136" s="324">
        <f t="shared" si="20"/>
        <v>0</v>
      </c>
      <c r="E136" s="324"/>
      <c r="F136" s="324"/>
      <c r="G136" s="328"/>
      <c r="H136" s="328"/>
      <c r="I136" s="324"/>
      <c r="J136" s="196">
        <f t="shared" si="21"/>
        <v>0</v>
      </c>
      <c r="K136" s="196"/>
      <c r="L136" s="196"/>
      <c r="M136" s="211"/>
      <c r="N136" s="211"/>
      <c r="O136" s="196"/>
    </row>
    <row r="137" spans="1:16" ht="13.5" thickTop="1" thickBot="1">
      <c r="A137" s="862"/>
      <c r="B137" s="182" t="s">
        <v>253</v>
      </c>
      <c r="C137" s="182" t="s">
        <v>95</v>
      </c>
      <c r="D137" s="330">
        <f t="shared" si="20"/>
        <v>0</v>
      </c>
      <c r="E137" s="380"/>
      <c r="F137" s="331"/>
      <c r="G137" s="326"/>
      <c r="H137" s="326"/>
      <c r="I137" s="324"/>
      <c r="J137" s="213">
        <f t="shared" si="21"/>
        <v>0</v>
      </c>
      <c r="K137" s="383"/>
      <c r="L137" s="320"/>
      <c r="M137" s="209"/>
      <c r="N137" s="209"/>
      <c r="O137" s="196"/>
    </row>
    <row r="138" spans="1:16" ht="13.5" thickTop="1" thickBot="1">
      <c r="A138" s="862"/>
      <c r="B138" s="207"/>
      <c r="C138" s="208" t="s">
        <v>89</v>
      </c>
      <c r="D138" s="326">
        <f t="shared" si="20"/>
        <v>0</v>
      </c>
      <c r="E138" s="327"/>
      <c r="F138" s="327"/>
      <c r="G138" s="326"/>
      <c r="H138" s="326"/>
      <c r="I138" s="327"/>
      <c r="J138" s="209">
        <f t="shared" si="21"/>
        <v>0</v>
      </c>
      <c r="K138" s="210"/>
      <c r="L138" s="210"/>
      <c r="M138" s="209"/>
      <c r="N138" s="209"/>
      <c r="O138" s="210"/>
    </row>
    <row r="139" spans="1:16" ht="13.5" thickTop="1" thickBot="1">
      <c r="A139" s="862"/>
      <c r="B139" s="207"/>
      <c r="C139" s="208" t="s">
        <v>90</v>
      </c>
      <c r="D139" s="326">
        <f t="shared" si="20"/>
        <v>0</v>
      </c>
      <c r="E139" s="327"/>
      <c r="F139" s="327"/>
      <c r="G139" s="327"/>
      <c r="H139" s="326"/>
      <c r="I139" s="326"/>
      <c r="J139" s="209">
        <f t="shared" si="21"/>
        <v>0</v>
      </c>
      <c r="K139" s="210"/>
      <c r="L139" s="210"/>
      <c r="M139" s="210"/>
      <c r="N139" s="209"/>
      <c r="O139" s="209"/>
    </row>
    <row r="140" spans="1:16" ht="13.5" thickTop="1" thickBot="1">
      <c r="A140" s="862"/>
      <c r="B140" s="207"/>
      <c r="C140" s="208" t="s">
        <v>91</v>
      </c>
      <c r="D140" s="326">
        <f t="shared" si="20"/>
        <v>0</v>
      </c>
      <c r="E140" s="327"/>
      <c r="F140" s="327"/>
      <c r="G140" s="327"/>
      <c r="H140" s="327"/>
      <c r="I140" s="326"/>
      <c r="J140" s="209">
        <f t="shared" si="21"/>
        <v>0</v>
      </c>
      <c r="K140" s="210"/>
      <c r="L140" s="210"/>
      <c r="M140" s="210"/>
      <c r="N140" s="210"/>
      <c r="O140" s="209"/>
    </row>
    <row r="141" spans="1:16" ht="13.5" thickTop="1" thickBot="1">
      <c r="A141" s="862"/>
      <c r="B141" s="182" t="s">
        <v>254</v>
      </c>
      <c r="C141" s="182" t="s">
        <v>97</v>
      </c>
      <c r="D141" s="324">
        <f t="shared" si="20"/>
        <v>0</v>
      </c>
      <c r="E141" s="324"/>
      <c r="F141" s="324"/>
      <c r="G141" s="324"/>
      <c r="H141" s="324"/>
      <c r="I141" s="324"/>
      <c r="J141" s="196">
        <f t="shared" si="21"/>
        <v>0</v>
      </c>
      <c r="K141" s="196"/>
      <c r="L141" s="196"/>
      <c r="M141" s="196"/>
      <c r="N141" s="185"/>
      <c r="O141" s="196"/>
    </row>
    <row r="142" spans="1:16" ht="13.5" thickTop="1" thickBot="1">
      <c r="A142" s="862"/>
      <c r="B142" s="182" t="s">
        <v>255</v>
      </c>
      <c r="C142" s="182" t="s">
        <v>99</v>
      </c>
      <c r="D142" s="324">
        <f t="shared" si="20"/>
        <v>0</v>
      </c>
      <c r="E142" s="324"/>
      <c r="F142" s="324"/>
      <c r="G142" s="324"/>
      <c r="H142" s="323"/>
      <c r="I142" s="324"/>
      <c r="J142" s="196">
        <f t="shared" si="21"/>
        <v>0</v>
      </c>
      <c r="K142" s="196"/>
      <c r="L142" s="196"/>
      <c r="M142" s="196"/>
      <c r="N142" s="196"/>
      <c r="O142" s="196"/>
    </row>
    <row r="143" spans="1:16" ht="12.75" customHeight="1" thickTop="1" thickBot="1">
      <c r="A143" s="862"/>
      <c r="B143" s="257" t="s">
        <v>100</v>
      </c>
      <c r="C143" s="257" t="s">
        <v>101</v>
      </c>
      <c r="D143" s="285">
        <f t="shared" si="12"/>
        <v>2237299.2999999998</v>
      </c>
      <c r="E143" s="286">
        <f>SUM(E144:E147)</f>
        <v>0</v>
      </c>
      <c r="F143" s="286">
        <f>SUM(F144:F147)</f>
        <v>728020</v>
      </c>
      <c r="G143" s="286">
        <f>SUM(G144:G147)</f>
        <v>34513.599999999999</v>
      </c>
      <c r="H143" s="286">
        <f>SUM(H144:H147)</f>
        <v>552762.5</v>
      </c>
      <c r="I143" s="285">
        <f>SUM(I144:I147)</f>
        <v>922003.2</v>
      </c>
      <c r="J143" s="285">
        <f t="shared" si="13"/>
        <v>2022805.372</v>
      </c>
      <c r="K143" s="386">
        <f>SUM(K144:K147)</f>
        <v>0</v>
      </c>
      <c r="L143" s="386">
        <f>SUM(L144:L147)</f>
        <v>703462.27300000004</v>
      </c>
      <c r="M143" s="386">
        <f>SUM(M144:M147)</f>
        <v>17666.985000000001</v>
      </c>
      <c r="N143" s="386">
        <f>SUM(N144:N147)</f>
        <v>501224.91499999992</v>
      </c>
      <c r="O143" s="261">
        <f>SUM(O144:O147)</f>
        <v>800451.19899999991</v>
      </c>
      <c r="P143" s="24"/>
    </row>
    <row r="144" spans="1:16" ht="12.75" customHeight="1" thickTop="1" thickBot="1">
      <c r="A144" s="862"/>
      <c r="B144" s="249" t="s">
        <v>102</v>
      </c>
      <c r="C144" s="250" t="s">
        <v>103</v>
      </c>
      <c r="D144" s="358">
        <f t="shared" si="12"/>
        <v>625053.009295</v>
      </c>
      <c r="E144" s="252"/>
      <c r="F144" s="287"/>
      <c r="G144" s="287"/>
      <c r="H144" s="287"/>
      <c r="I144" s="356">
        <f>'7 месяцев'!I144+август!I144</f>
        <v>625053.009295</v>
      </c>
      <c r="J144" s="252">
        <f t="shared" si="13"/>
        <v>567868.53099999996</v>
      </c>
      <c r="K144" s="252"/>
      <c r="L144" s="287"/>
      <c r="M144" s="287"/>
      <c r="N144" s="287"/>
      <c r="O144" s="356">
        <f>'7 месяцев'!O144+август!O144</f>
        <v>567868.53099999996</v>
      </c>
      <c r="P144" s="24"/>
    </row>
    <row r="145" spans="1:19" ht="12.75" customHeight="1" thickTop="1" thickBot="1">
      <c r="A145" s="862"/>
      <c r="B145" s="249" t="s">
        <v>104</v>
      </c>
      <c r="C145" s="250" t="s">
        <v>206</v>
      </c>
      <c r="D145" s="358"/>
      <c r="E145" s="252"/>
      <c r="F145" s="287"/>
      <c r="G145" s="287"/>
      <c r="H145" s="287"/>
      <c r="I145" s="356">
        <f>'7 месяцев'!I145+август!I145</f>
        <v>0</v>
      </c>
      <c r="J145" s="252"/>
      <c r="K145" s="252"/>
      <c r="L145" s="287"/>
      <c r="M145" s="287"/>
      <c r="N145" s="287"/>
      <c r="O145" s="356"/>
      <c r="P145" s="24"/>
    </row>
    <row r="146" spans="1:19" ht="12.75" customHeight="1" thickTop="1" thickBot="1">
      <c r="A146" s="862"/>
      <c r="B146" s="249" t="s">
        <v>106</v>
      </c>
      <c r="C146" s="250" t="s">
        <v>105</v>
      </c>
      <c r="D146" s="358">
        <f t="shared" si="12"/>
        <v>1612246.2907050001</v>
      </c>
      <c r="E146" s="356">
        <f>'7 месяцев'!E146+август!E146</f>
        <v>0</v>
      </c>
      <c r="F146" s="356">
        <f>'7 месяцев'!F146+август!F146</f>
        <v>728020</v>
      </c>
      <c r="G146" s="356">
        <f>'7 месяцев'!G146+август!G146</f>
        <v>34513.599999999999</v>
      </c>
      <c r="H146" s="356">
        <f>'7 месяцев'!H146+август!H146</f>
        <v>552762.5</v>
      </c>
      <c r="I146" s="356">
        <f>'7 месяцев'!I146+август!I146</f>
        <v>296950.19070500002</v>
      </c>
      <c r="J146" s="252">
        <f t="shared" si="13"/>
        <v>1268189.6539999999</v>
      </c>
      <c r="K146" s="252"/>
      <c r="L146" s="356">
        <f>'7 месяцев'!L146+август!L146</f>
        <v>700073.33500000008</v>
      </c>
      <c r="M146" s="356">
        <f>'7 месяцев'!M146+август!M146</f>
        <v>16589.784</v>
      </c>
      <c r="N146" s="356">
        <f>'7 месяцев'!N146+август!N146</f>
        <v>362286.20999999996</v>
      </c>
      <c r="O146" s="356">
        <f>'7 месяцев'!O146+август!O146</f>
        <v>189240.32500000001</v>
      </c>
      <c r="P146" s="321"/>
    </row>
    <row r="147" spans="1:19" ht="12.75" customHeight="1" thickTop="1" thickBot="1">
      <c r="A147" s="862"/>
      <c r="B147" s="249" t="s">
        <v>207</v>
      </c>
      <c r="C147" s="250" t="s">
        <v>107</v>
      </c>
      <c r="D147" s="358">
        <f t="shared" si="12"/>
        <v>0</v>
      </c>
      <c r="E147" s="356">
        <f>'7 месяцев'!E147+август!E147</f>
        <v>0</v>
      </c>
      <c r="F147" s="356">
        <f>'7 месяцев'!F147+август!F147</f>
        <v>0</v>
      </c>
      <c r="G147" s="356">
        <f>'7 месяцев'!G147+август!G147</f>
        <v>0</v>
      </c>
      <c r="H147" s="356">
        <f>'7 месяцев'!H147+август!H147</f>
        <v>0</v>
      </c>
      <c r="I147" s="356">
        <f>'7 месяцев'!I147+август!I147</f>
        <v>0</v>
      </c>
      <c r="J147" s="604">
        <f t="shared" si="13"/>
        <v>186747.18699999998</v>
      </c>
      <c r="K147" s="356">
        <f>'7 месяцев'!K147+август!K147</f>
        <v>0</v>
      </c>
      <c r="L147" s="356">
        <f>'7 месяцев'!L147+август!L147</f>
        <v>3388.9380000000001</v>
      </c>
      <c r="M147" s="356">
        <f>'7 месяцев'!M147+август!M147</f>
        <v>1077.2009999999998</v>
      </c>
      <c r="N147" s="356">
        <f>'7 месяцев'!N147+август!N147</f>
        <v>138938.70499999999</v>
      </c>
      <c r="O147" s="356">
        <f>'7 месяцев'!O147+август!O147</f>
        <v>43342.342999999993</v>
      </c>
    </row>
    <row r="148" spans="1:19" ht="12.75" customHeight="1" thickTop="1" thickBot="1">
      <c r="A148" s="862"/>
      <c r="B148" s="249" t="s">
        <v>108</v>
      </c>
      <c r="C148" s="249" t="s">
        <v>169</v>
      </c>
      <c r="D148" s="291">
        <f>D150/1.18/D143</f>
        <v>1.1960056023997447</v>
      </c>
      <c r="E148" s="596">
        <v>0.93222000000000005</v>
      </c>
      <c r="F148" s="596">
        <v>0.93222000000000005</v>
      </c>
      <c r="G148" s="596">
        <v>1.21035</v>
      </c>
      <c r="H148" s="596">
        <v>1.94818</v>
      </c>
      <c r="I148" s="596">
        <v>2.8441000000000001</v>
      </c>
      <c r="J148" s="291">
        <f>J150/1.18/J143</f>
        <v>1.1739299259041716</v>
      </c>
      <c r="K148" s="596">
        <v>0.93222000000000005</v>
      </c>
      <c r="L148" s="596">
        <v>0.93222000000000005</v>
      </c>
      <c r="M148" s="596">
        <v>1.21035</v>
      </c>
      <c r="N148" s="596">
        <v>1.94818</v>
      </c>
      <c r="O148" s="596">
        <v>2.8441000000000001</v>
      </c>
    </row>
    <row r="149" spans="1:19" ht="12.75" customHeight="1" thickTop="1" thickBot="1">
      <c r="A149" s="862"/>
      <c r="B149" s="249" t="s">
        <v>205</v>
      </c>
      <c r="C149" s="249" t="s">
        <v>169</v>
      </c>
      <c r="D149" s="291"/>
      <c r="E149" s="289"/>
      <c r="F149" s="290"/>
      <c r="G149" s="290"/>
      <c r="H149" s="290"/>
      <c r="I149" s="598">
        <v>1.5637700000000001</v>
      </c>
      <c r="J149" s="291"/>
      <c r="K149" s="289"/>
      <c r="L149" s="290"/>
      <c r="M149" s="290"/>
      <c r="N149" s="290"/>
      <c r="O149" s="598">
        <v>1.5637700000000001</v>
      </c>
    </row>
    <row r="150" spans="1:19" ht="12.75" customHeight="1" thickTop="1" thickBot="1">
      <c r="A150" s="862"/>
      <c r="B150" s="249" t="s">
        <v>109</v>
      </c>
      <c r="C150" s="292" t="s">
        <v>110</v>
      </c>
      <c r="D150" s="285">
        <f>SUM(E150:I150)</f>
        <v>3157470.5465131318</v>
      </c>
      <c r="E150" s="370">
        <f>'7 месяцев'!E150+август!E150</f>
        <v>0</v>
      </c>
      <c r="F150" s="370">
        <f>'7 месяцев'!F150+август!F150</f>
        <v>487007.84662907582</v>
      </c>
      <c r="G150" s="370">
        <f>'7 месяцев'!G150+август!G150</f>
        <v>36964.320099999997</v>
      </c>
      <c r="H150" s="370">
        <f>'7 месяцев'!H150+август!H150</f>
        <v>949091.83422027994</v>
      </c>
      <c r="I150" s="370">
        <f>'7 месяцев'!I150+август!I150</f>
        <v>1684406.5455637758</v>
      </c>
      <c r="J150" s="285">
        <f>SUM(K150:O150)</f>
        <v>2802065.4773552138</v>
      </c>
      <c r="K150" s="370">
        <f>'7 месяцев'!K150+август!K150</f>
        <v>0</v>
      </c>
      <c r="L150" s="370">
        <f>'7 месяцев'!L150+август!L150</f>
        <v>472310.17427475838</v>
      </c>
      <c r="M150" s="370">
        <f>'7 месяцев'!M150+август!M150</f>
        <v>18265.2077517652</v>
      </c>
      <c r="N150" s="370">
        <f>'7 месяцев'!N150+август!N150</f>
        <v>853393.05334218196</v>
      </c>
      <c r="O150" s="370">
        <f>'7 месяцев'!O150+август!O150</f>
        <v>1458097.0419865083</v>
      </c>
      <c r="Q150" s="24"/>
    </row>
    <row r="151" spans="1:19" ht="12.75" customHeight="1" thickTop="1" thickBot="1">
      <c r="A151" s="863" t="s">
        <v>111</v>
      </c>
      <c r="B151" s="220" t="s">
        <v>112</v>
      </c>
      <c r="C151" s="221" t="s">
        <v>113</v>
      </c>
      <c r="D151" s="379">
        <f>SUM(E151:I151)</f>
        <v>433380</v>
      </c>
      <c r="E151" s="222">
        <f>E44-E34-E46</f>
        <v>0</v>
      </c>
      <c r="F151" s="222">
        <f>F44-F34-F46</f>
        <v>66980</v>
      </c>
      <c r="G151" s="222">
        <f>G44-G34-G46</f>
        <v>32770</v>
      </c>
      <c r="H151" s="222">
        <f>H44-H34-H46</f>
        <v>129980</v>
      </c>
      <c r="I151" s="222">
        <f>I44-I34-I46</f>
        <v>203650</v>
      </c>
      <c r="J151" s="295">
        <f>SUM(K151:O151)</f>
        <v>500814.96699999983</v>
      </c>
      <c r="K151" s="222">
        <f>K44-K34-K46</f>
        <v>0</v>
      </c>
      <c r="L151" s="222">
        <f>L44-L34-L46</f>
        <v>64044.772874999675</v>
      </c>
      <c r="M151" s="222">
        <f>M44-M34-M46</f>
        <v>25544.141999999854</v>
      </c>
      <c r="N151" s="222">
        <f>N44-N34-N46</f>
        <v>121456.27412499988</v>
      </c>
      <c r="O151" s="222">
        <f>O44-O34-O46</f>
        <v>289769.7780000004</v>
      </c>
    </row>
    <row r="152" spans="1:19" ht="12.75" customHeight="1" thickTop="1" thickBot="1">
      <c r="A152" s="863"/>
      <c r="B152" s="234" t="s">
        <v>114</v>
      </c>
      <c r="C152" s="179" t="s">
        <v>115</v>
      </c>
      <c r="D152" s="346">
        <f t="shared" ref="D152:J152" si="22">IF(D44=0,0,D151/D44*100)</f>
        <v>16.105272546192381</v>
      </c>
      <c r="E152" s="346">
        <f t="shared" si="22"/>
        <v>0</v>
      </c>
      <c r="F152" s="346">
        <f t="shared" si="22"/>
        <v>3.2697574287150899</v>
      </c>
      <c r="G152" s="346">
        <f t="shared" si="22"/>
        <v>4.0452994533846205</v>
      </c>
      <c r="H152" s="346">
        <f t="shared" si="22"/>
        <v>6.5489026381023399</v>
      </c>
      <c r="I152" s="346">
        <f t="shared" si="22"/>
        <v>17.958870526817051</v>
      </c>
      <c r="J152" s="346">
        <f t="shared" si="22"/>
        <v>19.713447265631157</v>
      </c>
      <c r="K152" s="346">
        <f>IF(K44=0,0,K151/K44*100)</f>
        <v>0</v>
      </c>
      <c r="L152" s="346">
        <f t="shared" ref="L152:O152" si="23">IF(L44=0,0,L151/L44*100)</f>
        <v>3.2288945241828135</v>
      </c>
      <c r="M152" s="346">
        <f t="shared" si="23"/>
        <v>3.7393959635022305</v>
      </c>
      <c r="N152" s="346">
        <f t="shared" si="23"/>
        <v>6.4656312510018115</v>
      </c>
      <c r="O152" s="346">
        <f t="shared" si="23"/>
        <v>26.347091606230922</v>
      </c>
    </row>
    <row r="153" spans="1:19" ht="12.75" customHeight="1" thickTop="1" thickBot="1">
      <c r="A153" s="863"/>
      <c r="B153" s="234" t="s">
        <v>116</v>
      </c>
      <c r="C153" s="179" t="s">
        <v>117</v>
      </c>
      <c r="D153" s="346">
        <f t="shared" ref="D153:J153" si="24">IF(D45=0,0,D151/D45*100)</f>
        <v>16.105272546192381</v>
      </c>
      <c r="E153" s="346">
        <f t="shared" si="24"/>
        <v>0</v>
      </c>
      <c r="F153" s="346">
        <f t="shared" si="24"/>
        <v>3.2697574287150899</v>
      </c>
      <c r="G153" s="346">
        <f t="shared" si="24"/>
        <v>4.1551513479326188</v>
      </c>
      <c r="H153" s="346">
        <f t="shared" si="24"/>
        <v>7.1541699404323715</v>
      </c>
      <c r="I153" s="346">
        <f t="shared" si="24"/>
        <v>18.091717768847456</v>
      </c>
      <c r="J153" s="346">
        <f t="shared" si="24"/>
        <v>19.713447265631157</v>
      </c>
      <c r="K153" s="346">
        <f>IF(K45=0,0,K151/K45*100)</f>
        <v>0</v>
      </c>
      <c r="L153" s="346">
        <f t="shared" ref="L153:O153" si="25">IF(L45=0,0,L151/L45*100)</f>
        <v>3.2288945241828126</v>
      </c>
      <c r="M153" s="346">
        <f t="shared" si="25"/>
        <v>3.8238696445391156</v>
      </c>
      <c r="N153" s="346">
        <f t="shared" si="25"/>
        <v>7.0508380090201124</v>
      </c>
      <c r="O153" s="346">
        <f t="shared" si="25"/>
        <v>26.57899491141421</v>
      </c>
    </row>
    <row r="154" spans="1:19" ht="12.75" customHeight="1" thickTop="1" thickBot="1">
      <c r="A154" s="863"/>
      <c r="B154" s="224" t="s">
        <v>118</v>
      </c>
      <c r="C154" s="225" t="s">
        <v>119</v>
      </c>
      <c r="D154" s="442">
        <f>SUM(E154:I154)</f>
        <v>30627.804558589651</v>
      </c>
      <c r="E154" s="442">
        <v>0</v>
      </c>
      <c r="F154" s="356">
        <f>'7 месяцев'!F154+август!F154</f>
        <v>30627.804558589651</v>
      </c>
      <c r="G154" s="442">
        <v>0</v>
      </c>
      <c r="H154" s="442">
        <v>0</v>
      </c>
      <c r="I154" s="442">
        <v>0</v>
      </c>
      <c r="J154" s="442">
        <f>SUM(K154:O154)</f>
        <v>30640.3760602</v>
      </c>
      <c r="K154" s="442">
        <v>0</v>
      </c>
      <c r="L154" s="356">
        <f>'7 месяцев'!L154+август!L154</f>
        <v>30640.3760602</v>
      </c>
      <c r="M154" s="442">
        <v>0</v>
      </c>
      <c r="N154" s="442">
        <v>0</v>
      </c>
      <c r="O154" s="442">
        <v>0</v>
      </c>
    </row>
    <row r="155" spans="1:19" ht="12.75" customHeight="1" thickTop="1" thickBot="1">
      <c r="A155" s="863"/>
      <c r="B155" s="227" t="s">
        <v>120</v>
      </c>
      <c r="C155" s="186" t="s">
        <v>121</v>
      </c>
      <c r="D155" s="443">
        <f>SUM(E155:I155)</f>
        <v>433380</v>
      </c>
      <c r="E155" s="448">
        <f>E151</f>
        <v>0</v>
      </c>
      <c r="F155" s="448">
        <f>F151</f>
        <v>66980</v>
      </c>
      <c r="G155" s="448">
        <f>G151</f>
        <v>32770</v>
      </c>
      <c r="H155" s="448">
        <f>H151</f>
        <v>129980</v>
      </c>
      <c r="I155" s="448">
        <f>I151</f>
        <v>203650</v>
      </c>
      <c r="J155" s="448">
        <f>SUM(K155:O155)</f>
        <v>500814.96699999983</v>
      </c>
      <c r="K155" s="448">
        <f>K151</f>
        <v>0</v>
      </c>
      <c r="L155" s="448">
        <f>L151</f>
        <v>64044.772874999675</v>
      </c>
      <c r="M155" s="448">
        <f>M151</f>
        <v>25544.141999999854</v>
      </c>
      <c r="N155" s="448">
        <f>N151</f>
        <v>121456.27412499988</v>
      </c>
      <c r="O155" s="448">
        <f>O151</f>
        <v>289769.7780000004</v>
      </c>
    </row>
    <row r="156" spans="1:19" ht="12.75" customHeight="1" thickTop="1" thickBot="1">
      <c r="A156" s="863"/>
      <c r="B156" s="227" t="s">
        <v>122</v>
      </c>
      <c r="C156" s="186" t="s">
        <v>167</v>
      </c>
      <c r="D156" s="444">
        <f>D157/1.18/D155</f>
        <v>1.6320615964524887</v>
      </c>
      <c r="E156" s="341">
        <v>1.6320615964524885</v>
      </c>
      <c r="F156" s="341">
        <v>1.6320615964524885</v>
      </c>
      <c r="G156" s="341">
        <v>1.6320615964524885</v>
      </c>
      <c r="H156" s="341">
        <v>1.6320615964524885</v>
      </c>
      <c r="I156" s="341">
        <v>1.6320615964524885</v>
      </c>
      <c r="J156" s="444">
        <f>J157/1.18/J155</f>
        <v>1.5079626428177375</v>
      </c>
      <c r="K156" s="341">
        <v>1.5079626428177375</v>
      </c>
      <c r="L156" s="341">
        <v>1.5079626428177375</v>
      </c>
      <c r="M156" s="341">
        <v>1.5079626428177375</v>
      </c>
      <c r="N156" s="341">
        <v>1.5079626428177375</v>
      </c>
      <c r="O156" s="341">
        <v>1.5079626428177375</v>
      </c>
    </row>
    <row r="157" spans="1:19" ht="12.75" customHeight="1" thickTop="1" thickBot="1">
      <c r="A157" s="863"/>
      <c r="B157" s="227" t="s">
        <v>124</v>
      </c>
      <c r="C157" s="186" t="s">
        <v>168</v>
      </c>
      <c r="D157" s="443">
        <f>SUM(E157:I157)</f>
        <v>834617.36851128377</v>
      </c>
      <c r="E157" s="443">
        <f>E155*E156*1.18</f>
        <v>0</v>
      </c>
      <c r="F157" s="443">
        <f>F155*F156*1.18</f>
        <v>128992.27316185745</v>
      </c>
      <c r="G157" s="443">
        <f>G155*G156*1.18</f>
        <v>63109.537048582701</v>
      </c>
      <c r="H157" s="443">
        <f>H155*H156*1.18</f>
        <v>250319.73224213545</v>
      </c>
      <c r="I157" s="443">
        <f>I155*I156*1.18</f>
        <v>392195.82605870819</v>
      </c>
      <c r="J157" s="448">
        <f>SUM(K157:O157)</f>
        <v>891148.10821599723</v>
      </c>
      <c r="K157" s="448">
        <f>K155*K156*1.18</f>
        <v>0</v>
      </c>
      <c r="L157" s="448">
        <f>L155*L156*1.18</f>
        <v>113961.00745663057</v>
      </c>
      <c r="M157" s="448">
        <f>M155*M156*1.18</f>
        <v>45453.142017020989</v>
      </c>
      <c r="N157" s="448">
        <f>N155*N156*1.18</f>
        <v>216118.79845726988</v>
      </c>
      <c r="O157" s="448">
        <f>O155*O156*1.18</f>
        <v>515615.16028507578</v>
      </c>
    </row>
    <row r="158" spans="1:19" ht="12.75" customHeight="1" thickTop="1" thickBot="1">
      <c r="A158" s="863"/>
      <c r="B158" s="229" t="s">
        <v>126</v>
      </c>
      <c r="C158" s="225" t="s">
        <v>127</v>
      </c>
      <c r="D158" s="445">
        <f>SUM(E158:I158)</f>
        <v>405630</v>
      </c>
      <c r="E158" s="356">
        <f>'6 месяцев'!E158+июль!E158</f>
        <v>0</v>
      </c>
      <c r="F158" s="356">
        <f>'7 месяцев'!F158+август!F158</f>
        <v>66980</v>
      </c>
      <c r="G158" s="356">
        <f>'7 месяцев'!G158+август!G158</f>
        <v>32770</v>
      </c>
      <c r="H158" s="356">
        <f>'7 месяцев'!H158+август!H158</f>
        <v>129980</v>
      </c>
      <c r="I158" s="356">
        <f>'7 месяцев'!I158+август!I158</f>
        <v>175900</v>
      </c>
      <c r="J158" s="442">
        <f>SUM(K158:O158)</f>
        <v>384216.85099999991</v>
      </c>
      <c r="K158" s="356">
        <f>'7 месяцев'!K158+август!K158</f>
        <v>-1.4210854715202004E-12</v>
      </c>
      <c r="L158" s="356">
        <f>'7 месяцев'!L158+август!L158</f>
        <v>64044.772400000031</v>
      </c>
      <c r="M158" s="356">
        <f>'7 месяцев'!M158+август!M158</f>
        <v>25544.141999999985</v>
      </c>
      <c r="N158" s="356">
        <f>'7 месяцев'!N158+август!N158</f>
        <v>121456.2745999999</v>
      </c>
      <c r="O158" s="356">
        <f>'7 месяцев'!O158+август!O158</f>
        <v>173171.66199999998</v>
      </c>
    </row>
    <row r="159" spans="1:19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26">IF(D44=0,0,D158/D44*100)</f>
        <v>15.074026726918675</v>
      </c>
      <c r="E159" s="345">
        <f t="shared" si="26"/>
        <v>0</v>
      </c>
      <c r="F159" s="345">
        <f t="shared" si="26"/>
        <v>3.2697574287150899</v>
      </c>
      <c r="G159" s="345">
        <f t="shared" si="26"/>
        <v>4.0452994533846205</v>
      </c>
      <c r="H159" s="345">
        <f t="shared" si="26"/>
        <v>6.5489026381023399</v>
      </c>
      <c r="I159" s="345">
        <f t="shared" si="26"/>
        <v>15.511737420413057</v>
      </c>
      <c r="J159" s="345">
        <f t="shared" si="26"/>
        <v>15.123826422614409</v>
      </c>
      <c r="K159" s="345">
        <f>IF(K44=0,0,K158/K44*100)</f>
        <v>0</v>
      </c>
      <c r="L159" s="345">
        <f t="shared" si="26"/>
        <v>3.2288945002351328</v>
      </c>
      <c r="M159" s="345">
        <f t="shared" si="26"/>
        <v>3.7393959635022491</v>
      </c>
      <c r="N159" s="345">
        <f t="shared" si="26"/>
        <v>6.4656312762880725</v>
      </c>
      <c r="O159" s="345">
        <f t="shared" si="26"/>
        <v>15.74549862931962</v>
      </c>
      <c r="P159" s="25"/>
      <c r="Q159" s="25"/>
      <c r="R159" s="25"/>
      <c r="S159" s="25"/>
    </row>
    <row r="160" spans="1:19" ht="12.75" customHeight="1" thickTop="1" thickBot="1">
      <c r="A160" s="863"/>
      <c r="B160" s="230" t="s">
        <v>130</v>
      </c>
      <c r="C160" s="225" t="s">
        <v>131</v>
      </c>
      <c r="D160" s="345">
        <f t="shared" ref="D160:O160" si="27">IF(D45=0,0,D158/D45*100)</f>
        <v>15.074026726918675</v>
      </c>
      <c r="E160" s="345">
        <f t="shared" si="27"/>
        <v>0</v>
      </c>
      <c r="F160" s="345">
        <f t="shared" si="27"/>
        <v>3.2697574287150899</v>
      </c>
      <c r="G160" s="345">
        <f t="shared" si="27"/>
        <v>4.1551513479326188</v>
      </c>
      <c r="H160" s="345">
        <f t="shared" si="27"/>
        <v>7.1541699404323715</v>
      </c>
      <c r="I160" s="345">
        <f t="shared" si="27"/>
        <v>15.626482472576811</v>
      </c>
      <c r="J160" s="345">
        <f t="shared" si="27"/>
        <v>15.123826422614409</v>
      </c>
      <c r="K160" s="345">
        <f t="shared" si="27"/>
        <v>0</v>
      </c>
      <c r="L160" s="345">
        <f t="shared" si="27"/>
        <v>3.2288945002351328</v>
      </c>
      <c r="M160" s="345">
        <f t="shared" si="27"/>
        <v>3.8238696445391351</v>
      </c>
      <c r="N160" s="345">
        <f t="shared" si="27"/>
        <v>7.0508380365950423</v>
      </c>
      <c r="O160" s="345">
        <f t="shared" si="27"/>
        <v>15.8840882402137</v>
      </c>
      <c r="P160" s="25"/>
      <c r="Q160" s="25"/>
      <c r="R160" s="25"/>
      <c r="S160" s="25"/>
    </row>
    <row r="161" spans="1:15" ht="12.75" customHeight="1" thickTop="1" thickBot="1">
      <c r="A161" s="863"/>
      <c r="B161" s="231" t="s">
        <v>132</v>
      </c>
      <c r="C161" s="186" t="s">
        <v>133</v>
      </c>
      <c r="D161" s="443">
        <f>SUM(E161:I161)</f>
        <v>27750</v>
      </c>
      <c r="E161" s="251">
        <f>E151-E158</f>
        <v>0</v>
      </c>
      <c r="F161" s="448">
        <f>F151-F158</f>
        <v>0</v>
      </c>
      <c r="G161" s="448">
        <f>G151-G158</f>
        <v>0</v>
      </c>
      <c r="H161" s="448">
        <f>H151-H158</f>
        <v>0</v>
      </c>
      <c r="I161" s="448">
        <f>I151-I158</f>
        <v>27750</v>
      </c>
      <c r="J161" s="448">
        <f>SUM(K161:O161)</f>
        <v>116598.11599999991</v>
      </c>
      <c r="K161" s="448">
        <f>K151-K158</f>
        <v>1.4210854715202004E-12</v>
      </c>
      <c r="L161" s="448">
        <f>L151-L158</f>
        <v>4.7499964421149343E-4</v>
      </c>
      <c r="M161" s="448">
        <f>M151-M158</f>
        <v>-1.3096723705530167E-10</v>
      </c>
      <c r="N161" s="448">
        <f>N151-N158</f>
        <v>-4.7500002256128937E-4</v>
      </c>
      <c r="O161" s="448">
        <f>O151-O158</f>
        <v>116598.11600000042</v>
      </c>
    </row>
    <row r="162" spans="1:15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1.0312458192737057</v>
      </c>
      <c r="E162" s="347">
        <f t="shared" ref="E162:I162" si="28">IF(E44=0,0,E161/E44*100)</f>
        <v>0</v>
      </c>
      <c r="F162" s="347">
        <f t="shared" si="28"/>
        <v>0</v>
      </c>
      <c r="G162" s="347">
        <f t="shared" si="28"/>
        <v>0</v>
      </c>
      <c r="H162" s="347">
        <f t="shared" si="28"/>
        <v>0</v>
      </c>
      <c r="I162" s="347">
        <f t="shared" si="28"/>
        <v>2.4471331064039927</v>
      </c>
      <c r="J162" s="347">
        <f>IF(J44=0,0,J161/J44*100)</f>
        <v>4.5896208430167453</v>
      </c>
      <c r="K162" s="347">
        <f>IF(K44=0,0,K161/K44*100)</f>
        <v>0</v>
      </c>
      <c r="L162" s="347">
        <f t="shared" ref="L162:O162" si="29">IF(L44=0,0,L161/L44*100)</f>
        <v>2.3947680370055232E-8</v>
      </c>
      <c r="M162" s="347">
        <f t="shared" si="29"/>
        <v>-1.9172237517143364E-14</v>
      </c>
      <c r="N162" s="347">
        <f t="shared" si="29"/>
        <v>-2.5286260526467812E-8</v>
      </c>
      <c r="O162" s="347">
        <f t="shared" si="29"/>
        <v>10.601592976911297</v>
      </c>
    </row>
    <row r="163" spans="1:15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1.0312458192737057</v>
      </c>
      <c r="E163" s="347">
        <f t="shared" ref="E163:O163" si="30">IF(E45=0,0,E161/E45*100)</f>
        <v>0</v>
      </c>
      <c r="F163" s="347">
        <f t="shared" si="30"/>
        <v>0</v>
      </c>
      <c r="G163" s="347">
        <f t="shared" si="30"/>
        <v>0</v>
      </c>
      <c r="H163" s="347">
        <f t="shared" si="30"/>
        <v>0</v>
      </c>
      <c r="I163" s="347">
        <f t="shared" si="30"/>
        <v>2.4652352962706456</v>
      </c>
      <c r="J163" s="347">
        <f t="shared" si="30"/>
        <v>4.5896208430167453</v>
      </c>
      <c r="K163" s="347">
        <f t="shared" si="30"/>
        <v>0</v>
      </c>
      <c r="L163" s="347">
        <f t="shared" si="30"/>
        <v>2.3947680370055232E-8</v>
      </c>
      <c r="M163" s="347">
        <f t="shared" si="30"/>
        <v>-1.9605342086061428E-14</v>
      </c>
      <c r="N163" s="347">
        <f t="shared" si="30"/>
        <v>-2.7574929640223339E-8</v>
      </c>
      <c r="O163" s="347">
        <f t="shared" si="30"/>
        <v>10.694906671200508</v>
      </c>
    </row>
    <row r="164" spans="1:15">
      <c r="A164" s="94" t="s">
        <v>195</v>
      </c>
      <c r="D164" s="95"/>
      <c r="E164" s="95"/>
      <c r="F164" s="95"/>
      <c r="G164" s="95"/>
      <c r="H164" s="95"/>
      <c r="I164" s="95"/>
      <c r="J164" s="348"/>
      <c r="K164" s="348"/>
      <c r="L164" s="348"/>
      <c r="M164" s="348"/>
      <c r="N164" s="348"/>
      <c r="O164" s="348"/>
    </row>
    <row r="165" spans="1:15" ht="12.75" thickBot="1">
      <c r="D165" s="95"/>
      <c r="E165" s="93"/>
      <c r="F165" s="342"/>
      <c r="G165" s="342"/>
      <c r="H165" s="342"/>
      <c r="I165" s="342"/>
      <c r="J165" s="348"/>
      <c r="K165" s="348"/>
      <c r="L165" s="342"/>
      <c r="M165" s="342"/>
      <c r="N165" s="342"/>
      <c r="O165" s="342"/>
    </row>
    <row r="166" spans="1:15" ht="12.75" customHeight="1" thickBot="1">
      <c r="B166" s="854" t="s">
        <v>138</v>
      </c>
      <c r="C166" s="855" t="s">
        <v>139</v>
      </c>
      <c r="D166" s="842" t="s">
        <v>140</v>
      </c>
      <c r="E166" s="843"/>
      <c r="F166" s="843"/>
      <c r="G166" s="843"/>
      <c r="H166" s="843"/>
      <c r="I166" s="844"/>
      <c r="J166" s="842" t="s">
        <v>140</v>
      </c>
      <c r="K166" s="843"/>
      <c r="L166" s="843"/>
      <c r="M166" s="843"/>
      <c r="N166" s="843"/>
      <c r="O166" s="844"/>
    </row>
    <row r="167" spans="1:15">
      <c r="B167" s="854"/>
      <c r="C167" s="855"/>
      <c r="D167" s="96" t="s">
        <v>141</v>
      </c>
      <c r="E167" s="97"/>
      <c r="F167" s="97" t="s">
        <v>5</v>
      </c>
      <c r="G167" s="98" t="s">
        <v>74</v>
      </c>
      <c r="H167" s="98" t="s">
        <v>76</v>
      </c>
      <c r="I167" s="99" t="s">
        <v>8</v>
      </c>
      <c r="J167" s="96" t="s">
        <v>141</v>
      </c>
      <c r="K167" s="97"/>
      <c r="L167" s="97" t="s">
        <v>5</v>
      </c>
      <c r="M167" s="98" t="s">
        <v>74</v>
      </c>
      <c r="N167" s="98" t="s">
        <v>76</v>
      </c>
      <c r="O167" s="99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>
        <f>D174+D175+D176</f>
        <v>2690920</v>
      </c>
      <c r="E169" s="35"/>
      <c r="F169" s="36">
        <f>F170+F174+F175+F176</f>
        <v>2048470</v>
      </c>
      <c r="G169" s="36">
        <f>G170+G174+G175+G176</f>
        <v>790636</v>
      </c>
      <c r="H169" s="36">
        <f>H170+H174+H175+H176</f>
        <v>1826780</v>
      </c>
      <c r="I169" s="37">
        <f>I170+I174+I175+I176</f>
        <v>1133980</v>
      </c>
      <c r="J169" s="34">
        <f>J174+J175+J176</f>
        <v>2540473.8209999995</v>
      </c>
      <c r="K169" s="35"/>
      <c r="L169" s="36">
        <f>L170+L174+L175+L176</f>
        <v>1983489.16</v>
      </c>
      <c r="M169" s="36">
        <f>M170+M174+M175+M176</f>
        <v>668018.11710500007</v>
      </c>
      <c r="N169" s="36">
        <f>N170+N174+N175+N176</f>
        <v>1729836.7871250003</v>
      </c>
      <c r="O169" s="37">
        <f>O170+O174+O175+O176</f>
        <v>1099816.9450000003</v>
      </c>
    </row>
    <row r="170" spans="1:15" ht="12.75">
      <c r="B170" s="38" t="s">
        <v>12</v>
      </c>
      <c r="C170" s="39" t="s">
        <v>143</v>
      </c>
      <c r="D170" s="675">
        <f t="shared" ref="D170:D177" si="31">SUM(F170:I170)</f>
        <v>3108946</v>
      </c>
      <c r="E170" s="676"/>
      <c r="F170" s="676"/>
      <c r="G170" s="677">
        <f>SUM(G171:G173)</f>
        <v>401166</v>
      </c>
      <c r="H170" s="677">
        <f>SUM(H171:H173)</f>
        <v>1573680</v>
      </c>
      <c r="I170" s="678">
        <f>SUM(I171:I173)</f>
        <v>1134100</v>
      </c>
      <c r="J170" s="675">
        <f t="shared" ref="J170:J177" si="32">SUM(L170:O170)</f>
        <v>2940687.1882300004</v>
      </c>
      <c r="K170" s="676"/>
      <c r="L170" s="676"/>
      <c r="M170" s="677">
        <f>SUM(M171:M173)</f>
        <v>347007.85410500003</v>
      </c>
      <c r="N170" s="677">
        <f>SUM(N171:N173)</f>
        <v>1493781.2501250003</v>
      </c>
      <c r="O170" s="678">
        <f>SUM(O171:O173)</f>
        <v>1099898.0840000003</v>
      </c>
    </row>
    <row r="171" spans="1:15" ht="12.75">
      <c r="B171" s="40" t="s">
        <v>144</v>
      </c>
      <c r="C171" s="41" t="s">
        <v>145</v>
      </c>
      <c r="D171" s="42">
        <f t="shared" si="31"/>
        <v>1253470</v>
      </c>
      <c r="E171" s="43"/>
      <c r="F171" s="44"/>
      <c r="G171" s="45">
        <f>G31-G49-G61-G73-G85-G97-G78-G109-G121-G54-G66-G90-G102-G114-G126</f>
        <v>401166</v>
      </c>
      <c r="H171" s="45">
        <f>H31-H49-H61-H73-H85-H97-H78-H54-H109-H66-H90-H102-H114-H121-H126</f>
        <v>852304</v>
      </c>
      <c r="I171" s="46"/>
      <c r="J171" s="42">
        <f t="shared" si="32"/>
        <v>1215982.1141250001</v>
      </c>
      <c r="K171" s="43"/>
      <c r="L171" s="44"/>
      <c r="M171" s="45">
        <f>M31-M49-M61-M73-M85-M97-M78-M109-M121-M54-M66-M90-M102-M114-M126</f>
        <v>347007.85410500003</v>
      </c>
      <c r="N171" s="45">
        <f>N31-N49-N61-N73-N85-N97-N78-N54-N109-N66-N90-N102-N114-N121-N126</f>
        <v>868974.26002000005</v>
      </c>
      <c r="O171" s="46"/>
    </row>
    <row r="172" spans="1:15" ht="12.75">
      <c r="B172" s="47" t="s">
        <v>146</v>
      </c>
      <c r="C172" s="48" t="s">
        <v>6</v>
      </c>
      <c r="D172" s="42">
        <f t="shared" si="31"/>
        <v>721376</v>
      </c>
      <c r="E172" s="43"/>
      <c r="F172" s="44"/>
      <c r="G172" s="49"/>
      <c r="H172" s="45">
        <f>H32-H50-H62-H74-H86-H98-H110-H55-H67-H79-H91-H103-H115-H122-H127</f>
        <v>721376</v>
      </c>
      <c r="I172" s="50">
        <f>I32-I50-I55-I62-I67-I74-I79-I86-I91-I98-I103-I110-I115-I122-I127</f>
        <v>0</v>
      </c>
      <c r="J172" s="42">
        <f t="shared" si="32"/>
        <v>624806.99010500009</v>
      </c>
      <c r="K172" s="43"/>
      <c r="L172" s="44"/>
      <c r="M172" s="49"/>
      <c r="N172" s="45">
        <f>N32-N50-N62-N74-N86-N98-N110-N55-N67-N79-N91-N103-N115-N122-N127</f>
        <v>624806.99010500009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>
        <f t="shared" si="31"/>
        <v>1134100</v>
      </c>
      <c r="E173" s="54"/>
      <c r="F173" s="55"/>
      <c r="G173" s="56"/>
      <c r="H173" s="56"/>
      <c r="I173" s="57">
        <f>I33-I51-I87-I75-I99-I111-I56-I63-I68-I80-I92-I104-I116-I123-I128</f>
        <v>1134100</v>
      </c>
      <c r="J173" s="53">
        <f t="shared" si="32"/>
        <v>1099898.0840000003</v>
      </c>
      <c r="K173" s="54"/>
      <c r="L173" s="55"/>
      <c r="M173" s="56"/>
      <c r="N173" s="56"/>
      <c r="O173" s="57">
        <f>O33-O51-O87-O75-O99-O111-O56-O63-O68-O80-O92-O104-O116-O123-O128</f>
        <v>1099898.0840000003</v>
      </c>
    </row>
    <row r="174" spans="1:15" ht="12.75">
      <c r="B174" s="58" t="s">
        <v>14</v>
      </c>
      <c r="C174" s="39" t="s">
        <v>148</v>
      </c>
      <c r="D174" s="110">
        <f t="shared" si="31"/>
        <v>1557295</v>
      </c>
      <c r="E174" s="111"/>
      <c r="F174" s="111">
        <f>F28+E28</f>
        <v>1263975</v>
      </c>
      <c r="G174" s="112">
        <f>G28</f>
        <v>267430</v>
      </c>
      <c r="H174" s="112">
        <f>H28</f>
        <v>25890</v>
      </c>
      <c r="I174" s="113">
        <f>I28</f>
        <v>0</v>
      </c>
      <c r="J174" s="110">
        <f t="shared" si="32"/>
        <v>1909090.7480000001</v>
      </c>
      <c r="K174" s="111"/>
      <c r="L174" s="111">
        <f>L28+K28</f>
        <v>1668656.4810000001</v>
      </c>
      <c r="M174" s="112">
        <f>M28</f>
        <v>217830.46099999998</v>
      </c>
      <c r="N174" s="112">
        <f>N28</f>
        <v>22603.806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>
        <f t="shared" si="31"/>
        <v>1123125</v>
      </c>
      <c r="E175" s="124"/>
      <c r="F175" s="125">
        <f>F23+F24+F25+E23+E24+E25</f>
        <v>784495</v>
      </c>
      <c r="G175" s="125">
        <f>G23+G24+G25</f>
        <v>111540</v>
      </c>
      <c r="H175" s="125">
        <f>H23+H24+H25</f>
        <v>227210</v>
      </c>
      <c r="I175" s="126">
        <f>I23+I24+I25</f>
        <v>-120</v>
      </c>
      <c r="J175" s="123">
        <f t="shared" si="32"/>
        <v>629607.27299999981</v>
      </c>
      <c r="K175" s="124"/>
      <c r="L175" s="125">
        <f>L23+L24+L25+K23+K24+K25</f>
        <v>314832.67899999983</v>
      </c>
      <c r="M175" s="125">
        <f>M23+M24+M25</f>
        <v>101404.00199999998</v>
      </c>
      <c r="N175" s="125">
        <f>N23+N24+N25</f>
        <v>213451.731</v>
      </c>
      <c r="O175" s="126">
        <f>O23+O24+O25</f>
        <v>-81.13900000000001</v>
      </c>
    </row>
    <row r="176" spans="1:15" ht="13.5" thickBot="1">
      <c r="B176" s="61" t="s">
        <v>20</v>
      </c>
      <c r="C176" s="62" t="s">
        <v>150</v>
      </c>
      <c r="D176" s="129">
        <f t="shared" si="31"/>
        <v>10500</v>
      </c>
      <c r="E176" s="130"/>
      <c r="F176" s="131">
        <f>F29+E29</f>
        <v>0</v>
      </c>
      <c r="G176" s="131">
        <f>G29</f>
        <v>10500</v>
      </c>
      <c r="H176" s="131">
        <f>H29</f>
        <v>0</v>
      </c>
      <c r="I176" s="132">
        <f>I29</f>
        <v>0</v>
      </c>
      <c r="J176" s="129">
        <f t="shared" si="32"/>
        <v>1775.7999999999993</v>
      </c>
      <c r="K176" s="130"/>
      <c r="L176" s="131">
        <f>L29+K29</f>
        <v>0</v>
      </c>
      <c r="M176" s="131">
        <f>M29</f>
        <v>1775.7999999999993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31"/>
        <v>433380</v>
      </c>
      <c r="E177" s="136"/>
      <c r="F177" s="136">
        <f>F169-F180-G171-H171</f>
        <v>66980</v>
      </c>
      <c r="G177" s="136">
        <f>G169-G180-H172-I172</f>
        <v>32770</v>
      </c>
      <c r="H177" s="136">
        <f>H169-H180-I173</f>
        <v>129980</v>
      </c>
      <c r="I177" s="137">
        <f>I169-I180</f>
        <v>203650</v>
      </c>
      <c r="J177" s="135">
        <f t="shared" si="32"/>
        <v>500814.96700000018</v>
      </c>
      <c r="K177" s="136"/>
      <c r="L177" s="136">
        <f>L169-L180-M171-N171</f>
        <v>64044.772874999791</v>
      </c>
      <c r="M177" s="136">
        <f>M169-M180-N172-O172</f>
        <v>25544.141999999993</v>
      </c>
      <c r="N177" s="136">
        <f>N169-N180-O173</f>
        <v>121456.274125</v>
      </c>
      <c r="O177" s="137">
        <f>O169-O180</f>
        <v>289769.7780000004</v>
      </c>
    </row>
    <row r="178" spans="1:15" ht="13.5" thickBot="1">
      <c r="B178" s="64"/>
      <c r="C178" s="65" t="s">
        <v>152</v>
      </c>
      <c r="D178" s="441">
        <f>IF(D169=0,0,D177/D169*100)</f>
        <v>16.105272546192381</v>
      </c>
      <c r="E178" s="140"/>
      <c r="F178" s="441">
        <f t="shared" ref="F178:I178" si="33">IF(F169=0,0,F177/F169*100)</f>
        <v>3.2697574287150899</v>
      </c>
      <c r="G178" s="441">
        <f t="shared" si="33"/>
        <v>4.1447644680991003</v>
      </c>
      <c r="H178" s="441">
        <f t="shared" si="33"/>
        <v>7.115251973417708</v>
      </c>
      <c r="I178" s="441">
        <f t="shared" si="33"/>
        <v>17.958870526817051</v>
      </c>
      <c r="J178" s="441">
        <f>IF(J169=0,0,J177/J169*100)</f>
        <v>19.713447265631174</v>
      </c>
      <c r="K178" s="140"/>
      <c r="L178" s="441">
        <f t="shared" ref="L178:O178" si="34">IF(L169=0,0,L177/L169*100)</f>
        <v>3.2288945241828189</v>
      </c>
      <c r="M178" s="441">
        <f t="shared" si="34"/>
        <v>3.823869644539136</v>
      </c>
      <c r="N178" s="441">
        <f t="shared" si="34"/>
        <v>7.0212562843492936</v>
      </c>
      <c r="O178" s="441">
        <f t="shared" si="34"/>
        <v>26.347091606230922</v>
      </c>
    </row>
    <row r="179" spans="1:15" ht="26.25" thickBot="1">
      <c r="B179" s="66" t="s">
        <v>38</v>
      </c>
      <c r="C179" s="67" t="s">
        <v>153</v>
      </c>
      <c r="D179" s="143">
        <f t="shared" ref="D179:D184" si="35">SUM(F179:I179)</f>
        <v>0</v>
      </c>
      <c r="E179" s="144"/>
      <c r="F179" s="144"/>
      <c r="G179" s="145"/>
      <c r="H179" s="145"/>
      <c r="I179" s="146"/>
      <c r="J179" s="143">
        <f t="shared" ref="J179:J184" si="36">SUM(L179:O179)</f>
        <v>0</v>
      </c>
      <c r="K179" s="144"/>
      <c r="L179" s="144"/>
      <c r="M179" s="145"/>
      <c r="N179" s="145"/>
      <c r="O179" s="146"/>
    </row>
    <row r="180" spans="1:15" ht="13.5" thickBot="1">
      <c r="B180" s="68" t="s">
        <v>52</v>
      </c>
      <c r="C180" s="69" t="s">
        <v>154</v>
      </c>
      <c r="D180" s="143">
        <f t="shared" si="35"/>
        <v>2257540</v>
      </c>
      <c r="E180" s="144"/>
      <c r="F180" s="682">
        <f>F143+E143</f>
        <v>728020</v>
      </c>
      <c r="G180" s="682">
        <f>G143+G194</f>
        <v>36490</v>
      </c>
      <c r="H180" s="682">
        <f>H143+H194</f>
        <v>562700</v>
      </c>
      <c r="I180" s="683">
        <f>I143+I194</f>
        <v>930330</v>
      </c>
      <c r="J180" s="143">
        <f t="shared" si="36"/>
        <v>2039658.8539999998</v>
      </c>
      <c r="K180" s="144"/>
      <c r="L180" s="682">
        <f>L143+K143</f>
        <v>703462.27300000004</v>
      </c>
      <c r="M180" s="682">
        <f>M143+M194</f>
        <v>17666.985000000001</v>
      </c>
      <c r="N180" s="682">
        <f>N143+N194</f>
        <v>508482.42899999995</v>
      </c>
      <c r="O180" s="683">
        <f>O143+O194</f>
        <v>810047.1669999999</v>
      </c>
    </row>
    <row r="181" spans="1:15" ht="12.75">
      <c r="B181" s="70" t="s">
        <v>54</v>
      </c>
      <c r="C181" s="71" t="s">
        <v>155</v>
      </c>
      <c r="D181" s="151">
        <f t="shared" si="35"/>
        <v>0</v>
      </c>
      <c r="E181" s="152"/>
      <c r="F181" s="152"/>
      <c r="G181" s="153"/>
      <c r="H181" s="153"/>
      <c r="I181" s="154"/>
      <c r="J181" s="151">
        <f t="shared" si="36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5"/>
        <v>0</v>
      </c>
      <c r="E182" s="158"/>
      <c r="F182" s="159"/>
      <c r="G182" s="159"/>
      <c r="H182" s="159"/>
      <c r="I182" s="160"/>
      <c r="J182" s="157">
        <f t="shared" si="36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5"/>
        <v>0</v>
      </c>
      <c r="E183" s="164"/>
      <c r="F183" s="164"/>
      <c r="G183" s="165"/>
      <c r="H183" s="165"/>
      <c r="I183" s="166"/>
      <c r="J183" s="163">
        <f t="shared" si="36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5"/>
        <v>0</v>
      </c>
      <c r="E184" s="111"/>
      <c r="F184" s="111"/>
      <c r="G184" s="112"/>
      <c r="H184" s="112"/>
      <c r="I184" s="113"/>
      <c r="J184" s="110">
        <f t="shared" si="36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8" spans="1:15" ht="12.75" customHeight="1">
      <c r="A188" s="832"/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483"/>
      <c r="B194" s="484"/>
      <c r="C194" s="483" t="s">
        <v>193</v>
      </c>
      <c r="D194" s="483"/>
      <c r="E194" s="483"/>
      <c r="F194" s="483"/>
      <c r="G194" s="521">
        <f>'7 месяцев'!G194+август!G194</f>
        <v>1976.3999999999999</v>
      </c>
      <c r="H194" s="521">
        <f>'7 месяцев'!H194+август!H194</f>
        <v>9937.5</v>
      </c>
      <c r="I194" s="521">
        <f>'7 месяцев'!I194+август!I194</f>
        <v>8326.7999999999993</v>
      </c>
      <c r="J194" s="483"/>
      <c r="K194" s="483"/>
      <c r="L194" s="483"/>
      <c r="M194" s="483"/>
      <c r="N194" s="521">
        <f>'7 месяцев'!N194+август!N194</f>
        <v>7257.5139999999992</v>
      </c>
      <c r="O194" s="521">
        <f>'7 месяцев'!O194+август!O194</f>
        <v>9595.9679999999989</v>
      </c>
    </row>
    <row r="195" spans="1:15">
      <c r="A195" s="483"/>
      <c r="B195" s="484"/>
      <c r="C195" s="483" t="s">
        <v>196</v>
      </c>
      <c r="D195" s="483"/>
      <c r="E195" s="483"/>
      <c r="F195" s="521">
        <f>'7 месяцев'!F195+август!F195</f>
        <v>94116.858307562768</v>
      </c>
      <c r="G195" s="483"/>
      <c r="H195" s="483"/>
      <c r="I195" s="483"/>
      <c r="J195" s="483"/>
      <c r="K195" s="483"/>
      <c r="L195" s="521">
        <f>'7 месяцев'!L195+август!L195</f>
        <v>87736.38771000001</v>
      </c>
      <c r="M195" s="483"/>
      <c r="N195" s="483"/>
      <c r="O195" s="483"/>
    </row>
  </sheetData>
  <mergeCells count="25">
    <mergeCell ref="A188:O188"/>
    <mergeCell ref="D166:I166"/>
    <mergeCell ref="J166:O166"/>
    <mergeCell ref="A46:A150"/>
    <mergeCell ref="A151:A163"/>
    <mergeCell ref="B166:B167"/>
    <mergeCell ref="C166:C167"/>
    <mergeCell ref="A6:A29"/>
    <mergeCell ref="A30:A43"/>
    <mergeCell ref="I4:I5"/>
    <mergeCell ref="J4:J5"/>
    <mergeCell ref="K4:L4"/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</mergeCells>
  <phoneticPr fontId="0" type="noConversion"/>
  <pageMargins left="0.86614173228346458" right="0.27559055118110237" top="0.74803149606299213" bottom="0.55118110236220474" header="0.51181102362204722" footer="0.51181102362204722"/>
  <pageSetup paperSize="9" scale="64" firstPageNumber="0" orientation="landscape" horizontalDpi="300" verticalDpi="300" r:id="rId1"/>
  <headerFooter alignWithMargins="0"/>
  <rowBreaks count="2" manualBreakCount="2">
    <brk id="57" max="14" man="1"/>
    <brk id="164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199"/>
  <sheetViews>
    <sheetView view="pageBreakPreview" zoomScale="90" zoomScaleSheetLayoutView="90" workbookViewId="0">
      <pane xSplit="3" ySplit="5" topLeftCell="D137" activePane="bottomRight" state="frozen"/>
      <selection pane="topRight" activeCell="D1" sqref="D1"/>
      <selection pane="bottomLeft" activeCell="A63" sqref="A63"/>
      <selection pane="bottomRight" activeCell="J150" sqref="J150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.5703125" style="1" customWidth="1"/>
    <col min="6" max="6" width="11.85546875" style="1" customWidth="1"/>
    <col min="7" max="7" width="11.140625" style="1" customWidth="1"/>
    <col min="8" max="8" width="11.7109375" style="1" customWidth="1"/>
    <col min="9" max="10" width="11.85546875" style="1" customWidth="1"/>
    <col min="11" max="11" width="11.140625" style="1" customWidth="1"/>
    <col min="12" max="12" width="11.28515625" style="1" customWidth="1"/>
    <col min="13" max="13" width="10.28515625" style="1" customWidth="1"/>
    <col min="14" max="14" width="11.28515625" style="1" customWidth="1"/>
    <col min="15" max="15" width="11.5703125" style="1" customWidth="1"/>
    <col min="16" max="16" width="11.85546875" style="1" customWidth="1"/>
    <col min="17" max="17" width="10" style="1" customWidth="1"/>
    <col min="18" max="18" width="11.140625" style="1" customWidth="1"/>
    <col min="19" max="19" width="9.28515625" style="1" bestFit="1" customWidth="1"/>
    <col min="20" max="16384" width="9.140625" style="1"/>
  </cols>
  <sheetData>
    <row r="1" spans="1:15" ht="15.75">
      <c r="A1" s="817" t="s">
        <v>227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" customHeight="1" thickBot="1">
      <c r="A3" s="856"/>
      <c r="B3" s="857" t="s">
        <v>0</v>
      </c>
      <c r="C3" s="858" t="s">
        <v>1</v>
      </c>
      <c r="D3" s="824" t="s">
        <v>2</v>
      </c>
      <c r="E3" s="825"/>
      <c r="F3" s="825"/>
      <c r="G3" s="825"/>
      <c r="H3" s="825"/>
      <c r="I3" s="826"/>
      <c r="J3" s="827" t="s">
        <v>3</v>
      </c>
      <c r="K3" s="828"/>
      <c r="L3" s="828"/>
      <c r="M3" s="828"/>
      <c r="N3" s="828"/>
      <c r="O3" s="829"/>
    </row>
    <row r="4" spans="1:15" s="3" customFormat="1" ht="12.75" customHeight="1" thickTop="1" thickBot="1">
      <c r="A4" s="856"/>
      <c r="B4" s="857"/>
      <c r="C4" s="858"/>
      <c r="D4" s="830" t="s">
        <v>4</v>
      </c>
      <c r="E4" s="835" t="s">
        <v>5</v>
      </c>
      <c r="F4" s="835"/>
      <c r="G4" s="835" t="s">
        <v>6</v>
      </c>
      <c r="H4" s="835" t="s">
        <v>7</v>
      </c>
      <c r="I4" s="820" t="s">
        <v>8</v>
      </c>
      <c r="J4" s="831" t="s">
        <v>4</v>
      </c>
      <c r="K4" s="833" t="s">
        <v>5</v>
      </c>
      <c r="L4" s="834"/>
      <c r="M4" s="818" t="s">
        <v>6</v>
      </c>
      <c r="N4" s="818" t="s">
        <v>7</v>
      </c>
      <c r="O4" s="820" t="s">
        <v>8</v>
      </c>
    </row>
    <row r="5" spans="1:15" s="6" customFormat="1" ht="13.5" thickTop="1" thickBot="1">
      <c r="A5" s="856"/>
      <c r="B5" s="857"/>
      <c r="C5" s="858"/>
      <c r="D5" s="831"/>
      <c r="E5" s="86">
        <v>220</v>
      </c>
      <c r="F5" s="86">
        <v>110</v>
      </c>
      <c r="G5" s="818"/>
      <c r="H5" s="818"/>
      <c r="I5" s="846"/>
      <c r="J5" s="845"/>
      <c r="K5" s="87">
        <v>220</v>
      </c>
      <c r="L5" s="242">
        <v>110</v>
      </c>
      <c r="M5" s="819"/>
      <c r="N5" s="819"/>
      <c r="O5" s="821"/>
    </row>
    <row r="6" spans="1:15" ht="13.5" thickTop="1" thickBot="1">
      <c r="A6" s="862" t="s">
        <v>9</v>
      </c>
      <c r="B6" s="179" t="s">
        <v>10</v>
      </c>
      <c r="C6" s="179" t="s">
        <v>11</v>
      </c>
      <c r="D6" s="352">
        <f t="shared" ref="D6:I6" si="0">SUM(D7:D9,D12,D14)</f>
        <v>341130</v>
      </c>
      <c r="E6" s="353">
        <f t="shared" si="0"/>
        <v>0</v>
      </c>
      <c r="F6" s="353">
        <f t="shared" si="0"/>
        <v>284880</v>
      </c>
      <c r="G6" s="353">
        <f t="shared" si="0"/>
        <v>34090</v>
      </c>
      <c r="H6" s="353">
        <f t="shared" si="0"/>
        <v>22150</v>
      </c>
      <c r="I6" s="353">
        <f t="shared" si="0"/>
        <v>10</v>
      </c>
      <c r="J6" s="244">
        <f t="shared" ref="J6:O6" si="1">SUM(J7:J9,J12,J14)</f>
        <v>413599.68299999996</v>
      </c>
      <c r="K6" s="245">
        <f t="shared" si="1"/>
        <v>0</v>
      </c>
      <c r="L6" s="245">
        <f t="shared" si="1"/>
        <v>361920.783</v>
      </c>
      <c r="M6" s="245">
        <f t="shared" si="1"/>
        <v>29981.343000000001</v>
      </c>
      <c r="N6" s="245">
        <f t="shared" si="1"/>
        <v>21606.245999999999</v>
      </c>
      <c r="O6" s="245">
        <f t="shared" si="1"/>
        <v>91.311000000000007</v>
      </c>
    </row>
    <row r="7" spans="1:15" ht="13.5" thickTop="1" thickBot="1">
      <c r="A7" s="862"/>
      <c r="B7" s="182" t="s">
        <v>12</v>
      </c>
      <c r="C7" s="182" t="s">
        <v>13</v>
      </c>
      <c r="D7" s="354">
        <f>SUM(E7:I7)</f>
        <v>0</v>
      </c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247">
        <f>SUM(K7:O7)</f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</row>
    <row r="8" spans="1:15" ht="13.5" thickTop="1" thickBot="1">
      <c r="A8" s="862"/>
      <c r="B8" s="182" t="s">
        <v>14</v>
      </c>
      <c r="C8" s="182" t="s">
        <v>15</v>
      </c>
      <c r="D8" s="354">
        <f>SUM(E8:I8)</f>
        <v>145977</v>
      </c>
      <c r="E8" s="356"/>
      <c r="F8" s="356">
        <v>117737</v>
      </c>
      <c r="G8" s="356">
        <v>9300</v>
      </c>
      <c r="H8" s="356">
        <v>18930</v>
      </c>
      <c r="I8" s="356">
        <v>10</v>
      </c>
      <c r="J8" s="247">
        <f>SUM(K8:O8)</f>
        <v>154595.636</v>
      </c>
      <c r="K8" s="333"/>
      <c r="L8" s="333">
        <v>125145.603</v>
      </c>
      <c r="M8" s="333">
        <v>10343.941999999999</v>
      </c>
      <c r="N8" s="333">
        <v>19014.78</v>
      </c>
      <c r="O8" s="333">
        <v>91.311000000000007</v>
      </c>
    </row>
    <row r="9" spans="1:15" ht="13.5" thickTop="1" thickBot="1">
      <c r="A9" s="862"/>
      <c r="B9" s="182" t="s">
        <v>16</v>
      </c>
      <c r="C9" s="182" t="s">
        <v>17</v>
      </c>
      <c r="D9" s="354">
        <f t="shared" ref="D9:I9" si="2">SUM(D10:D11)</f>
        <v>16310</v>
      </c>
      <c r="E9" s="355">
        <f t="shared" si="2"/>
        <v>0</v>
      </c>
      <c r="F9" s="355">
        <f t="shared" si="2"/>
        <v>16310</v>
      </c>
      <c r="G9" s="355">
        <f t="shared" si="2"/>
        <v>0</v>
      </c>
      <c r="H9" s="355">
        <f t="shared" si="2"/>
        <v>0</v>
      </c>
      <c r="I9" s="355">
        <f t="shared" si="2"/>
        <v>0</v>
      </c>
      <c r="J9" s="247">
        <f t="shared" ref="J9:O9" si="3">SUM(J10:J11)</f>
        <v>2652.2359999999999</v>
      </c>
      <c r="K9" s="248">
        <f t="shared" si="3"/>
        <v>0</v>
      </c>
      <c r="L9" s="248">
        <f t="shared" si="3"/>
        <v>2652.2359999999999</v>
      </c>
      <c r="M9" s="248">
        <f t="shared" si="3"/>
        <v>0</v>
      </c>
      <c r="N9" s="248">
        <f t="shared" si="3"/>
        <v>0</v>
      </c>
      <c r="O9" s="248">
        <f t="shared" si="3"/>
        <v>0</v>
      </c>
    </row>
    <row r="10" spans="1:15" ht="13.5" thickTop="1" thickBot="1">
      <c r="A10" s="862"/>
      <c r="B10" s="186" t="s">
        <v>18</v>
      </c>
      <c r="C10" s="187" t="s">
        <v>192</v>
      </c>
      <c r="D10" s="357">
        <f>SUM(F10:I10)</f>
        <v>14630</v>
      </c>
      <c r="E10" s="358"/>
      <c r="F10" s="360">
        <v>14630</v>
      </c>
      <c r="G10" s="358"/>
      <c r="H10" s="358"/>
      <c r="I10" s="358"/>
      <c r="J10" s="251">
        <f>SUM(L10:O10)</f>
        <v>1474.0039999999999</v>
      </c>
      <c r="K10" s="252"/>
      <c r="L10" s="289">
        <v>1474.0039999999999</v>
      </c>
      <c r="M10" s="252"/>
      <c r="N10" s="252"/>
      <c r="O10" s="252"/>
    </row>
    <row r="11" spans="1:15" ht="13.5" thickTop="1" thickBot="1">
      <c r="A11" s="862"/>
      <c r="B11" s="186" t="s">
        <v>19</v>
      </c>
      <c r="C11" s="187" t="s">
        <v>191</v>
      </c>
      <c r="D11" s="357">
        <f>SUM(F11:I11)</f>
        <v>1680</v>
      </c>
      <c r="E11" s="358"/>
      <c r="F11" s="360">
        <v>1680</v>
      </c>
      <c r="G11" s="358"/>
      <c r="H11" s="358"/>
      <c r="I11" s="358"/>
      <c r="J11" s="251">
        <f>SUM(L11:O11)</f>
        <v>1178.232</v>
      </c>
      <c r="K11" s="252"/>
      <c r="L11" s="289">
        <v>1178.232</v>
      </c>
      <c r="M11" s="252"/>
      <c r="N11" s="252"/>
      <c r="O11" s="252"/>
    </row>
    <row r="12" spans="1:15" ht="13.5" thickTop="1" thickBot="1">
      <c r="A12" s="862"/>
      <c r="B12" s="182" t="s">
        <v>20</v>
      </c>
      <c r="C12" s="182" t="s">
        <v>21</v>
      </c>
      <c r="D12" s="354">
        <f>SUM(E12:I12)</f>
        <v>178843</v>
      </c>
      <c r="E12" s="355"/>
      <c r="F12" s="356">
        <v>150833</v>
      </c>
      <c r="G12" s="356">
        <v>24790</v>
      </c>
      <c r="H12" s="356">
        <v>3220</v>
      </c>
      <c r="I12" s="355"/>
      <c r="J12" s="247">
        <f>SUM(K12:O12)</f>
        <v>256351.81099999999</v>
      </c>
      <c r="K12" s="248"/>
      <c r="L12" s="333">
        <v>234122.94399999999</v>
      </c>
      <c r="M12" s="333">
        <v>19637.401000000002</v>
      </c>
      <c r="N12" s="333">
        <v>2591.4659999999999</v>
      </c>
      <c r="O12" s="248"/>
    </row>
    <row r="13" spans="1:15" ht="13.5" thickTop="1" thickBot="1">
      <c r="A13" s="862"/>
      <c r="B13" s="186" t="s">
        <v>22</v>
      </c>
      <c r="C13" s="187" t="s">
        <v>23</v>
      </c>
      <c r="D13" s="354">
        <f>SUM(E13:I13)</f>
        <v>0</v>
      </c>
      <c r="E13" s="355"/>
      <c r="F13" s="358"/>
      <c r="G13" s="358"/>
      <c r="H13" s="358"/>
      <c r="I13" s="358"/>
      <c r="J13" s="247">
        <f>SUM(K13:O13)</f>
        <v>0</v>
      </c>
      <c r="K13" s="248"/>
      <c r="L13" s="252"/>
      <c r="M13" s="252"/>
      <c r="N13" s="358"/>
      <c r="O13" s="252"/>
    </row>
    <row r="14" spans="1:15" ht="13.5" thickTop="1" thickBot="1">
      <c r="A14" s="862"/>
      <c r="B14" s="182" t="s">
        <v>24</v>
      </c>
      <c r="C14" s="182" t="s">
        <v>25</v>
      </c>
      <c r="D14" s="354">
        <f>SUM(E14:I14)</f>
        <v>0</v>
      </c>
      <c r="E14" s="355"/>
      <c r="F14" s="355"/>
      <c r="G14" s="356">
        <v>0</v>
      </c>
      <c r="H14" s="355"/>
      <c r="I14" s="355"/>
      <c r="J14" s="247">
        <f>SUM(K14:O14)</f>
        <v>0</v>
      </c>
      <c r="K14" s="248"/>
      <c r="L14" s="248"/>
      <c r="M14" s="333">
        <v>0</v>
      </c>
      <c r="N14" s="248"/>
      <c r="O14" s="248"/>
    </row>
    <row r="15" spans="1:15" ht="13.5" thickTop="1" thickBot="1">
      <c r="A15" s="862"/>
      <c r="B15" s="179" t="s">
        <v>26</v>
      </c>
      <c r="C15" s="179" t="s">
        <v>27</v>
      </c>
      <c r="D15" s="352">
        <f t="shared" ref="D15:I15" si="4">SUM(D16:D18,D21)</f>
        <v>61840</v>
      </c>
      <c r="E15" s="359">
        <f t="shared" si="4"/>
        <v>0</v>
      </c>
      <c r="F15" s="359">
        <f t="shared" si="4"/>
        <v>61320</v>
      </c>
      <c r="G15" s="359">
        <f t="shared" si="4"/>
        <v>520</v>
      </c>
      <c r="H15" s="359">
        <f t="shared" si="4"/>
        <v>0</v>
      </c>
      <c r="I15" s="359">
        <f t="shared" si="4"/>
        <v>0</v>
      </c>
      <c r="J15" s="244">
        <f t="shared" ref="J15:O15" si="5">SUM(J16:J18,J21)</f>
        <v>162420.43299999996</v>
      </c>
      <c r="K15" s="253">
        <f t="shared" si="5"/>
        <v>0</v>
      </c>
      <c r="L15" s="253">
        <f t="shared" si="5"/>
        <v>161154.68799999999</v>
      </c>
      <c r="M15" s="253">
        <f t="shared" si="5"/>
        <v>1258.0040000000001</v>
      </c>
      <c r="N15" s="253">
        <f t="shared" si="5"/>
        <v>3.577</v>
      </c>
      <c r="O15" s="253">
        <f t="shared" si="5"/>
        <v>4.1639999999999997</v>
      </c>
    </row>
    <row r="16" spans="1:15" ht="13.5" thickTop="1" thickBot="1">
      <c r="A16" s="862"/>
      <c r="B16" s="182" t="s">
        <v>28</v>
      </c>
      <c r="C16" s="182" t="s">
        <v>29</v>
      </c>
      <c r="D16" s="354">
        <f>SUM(E16:I16)</f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247">
        <f>SUM(K16:O16)</f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</row>
    <row r="17" spans="1:15" ht="13.5" thickTop="1" thickBot="1">
      <c r="A17" s="862"/>
      <c r="B17" s="182" t="s">
        <v>30</v>
      </c>
      <c r="C17" s="182" t="s">
        <v>31</v>
      </c>
      <c r="D17" s="354">
        <f>SUM(E17:I17)</f>
        <v>54230</v>
      </c>
      <c r="E17" s="356"/>
      <c r="F17" s="356">
        <v>54230</v>
      </c>
      <c r="G17" s="356">
        <v>0</v>
      </c>
      <c r="H17" s="356">
        <v>0</v>
      </c>
      <c r="I17" s="356">
        <v>0</v>
      </c>
      <c r="J17" s="247">
        <f>SUM(K17:O17)</f>
        <v>143970.02399999998</v>
      </c>
      <c r="K17" s="333"/>
      <c r="L17" s="333">
        <v>143961.65299999999</v>
      </c>
      <c r="M17" s="333">
        <v>0.63</v>
      </c>
      <c r="N17" s="333">
        <v>3.577</v>
      </c>
      <c r="O17" s="333">
        <v>4.1639999999999997</v>
      </c>
    </row>
    <row r="18" spans="1:15" ht="13.5" thickTop="1" thickBot="1">
      <c r="A18" s="862"/>
      <c r="B18" s="182" t="s">
        <v>32</v>
      </c>
      <c r="C18" s="182" t="s">
        <v>33</v>
      </c>
      <c r="D18" s="354">
        <f t="shared" ref="D18:I18" si="6">SUM(D19:D20)</f>
        <v>5510</v>
      </c>
      <c r="E18" s="355">
        <f t="shared" si="6"/>
        <v>0</v>
      </c>
      <c r="F18" s="355">
        <f t="shared" si="6"/>
        <v>5290</v>
      </c>
      <c r="G18" s="355">
        <f t="shared" si="6"/>
        <v>220</v>
      </c>
      <c r="H18" s="355">
        <f t="shared" si="6"/>
        <v>0</v>
      </c>
      <c r="I18" s="355">
        <f t="shared" si="6"/>
        <v>0</v>
      </c>
      <c r="J18" s="247">
        <f t="shared" ref="J18:O18" si="7">SUM(J19:J20)</f>
        <v>5878.4320000000007</v>
      </c>
      <c r="K18" s="248">
        <f t="shared" si="7"/>
        <v>0</v>
      </c>
      <c r="L18" s="248">
        <f t="shared" si="7"/>
        <v>5734.277</v>
      </c>
      <c r="M18" s="248">
        <f t="shared" si="7"/>
        <v>144.155</v>
      </c>
      <c r="N18" s="248">
        <f t="shared" si="7"/>
        <v>0</v>
      </c>
      <c r="O18" s="248">
        <f t="shared" si="7"/>
        <v>0</v>
      </c>
    </row>
    <row r="19" spans="1:15" ht="13.5" thickTop="1" thickBot="1">
      <c r="A19" s="862"/>
      <c r="B19" s="186" t="s">
        <v>34</v>
      </c>
      <c r="C19" s="187" t="s">
        <v>192</v>
      </c>
      <c r="D19" s="357">
        <f t="shared" ref="D19:D29" si="8">SUM(E19:I19)</f>
        <v>2130</v>
      </c>
      <c r="E19" s="358"/>
      <c r="F19" s="360">
        <v>2130</v>
      </c>
      <c r="G19" s="358"/>
      <c r="H19" s="358"/>
      <c r="I19" s="358"/>
      <c r="J19" s="251">
        <f t="shared" ref="J19:J29" si="9">SUM(K19:O19)</f>
        <v>3344.9450000000002</v>
      </c>
      <c r="K19" s="252"/>
      <c r="L19" s="289">
        <v>3344.9450000000002</v>
      </c>
      <c r="M19" s="252"/>
      <c r="N19" s="252"/>
      <c r="O19" s="252"/>
    </row>
    <row r="20" spans="1:15" ht="13.5" thickTop="1" thickBot="1">
      <c r="A20" s="862"/>
      <c r="B20" s="190" t="s">
        <v>35</v>
      </c>
      <c r="C20" s="187" t="s">
        <v>191</v>
      </c>
      <c r="D20" s="357">
        <f t="shared" si="8"/>
        <v>3380</v>
      </c>
      <c r="E20" s="358"/>
      <c r="F20" s="360">
        <v>3160</v>
      </c>
      <c r="G20" s="360">
        <v>220</v>
      </c>
      <c r="H20" s="358"/>
      <c r="I20" s="358"/>
      <c r="J20" s="251">
        <f t="shared" si="9"/>
        <v>2533.4870000000001</v>
      </c>
      <c r="K20" s="252"/>
      <c r="L20" s="289">
        <v>2389.3319999999999</v>
      </c>
      <c r="M20" s="289">
        <v>144.155</v>
      </c>
      <c r="N20" s="252"/>
      <c r="O20" s="252"/>
    </row>
    <row r="21" spans="1:15" ht="13.5" thickTop="1" thickBot="1">
      <c r="A21" s="862"/>
      <c r="B21" s="182" t="s">
        <v>36</v>
      </c>
      <c r="C21" s="182" t="s">
        <v>37</v>
      </c>
      <c r="D21" s="354">
        <f t="shared" si="8"/>
        <v>2100</v>
      </c>
      <c r="E21" s="355"/>
      <c r="F21" s="356">
        <v>1800</v>
      </c>
      <c r="G21" s="356">
        <v>300</v>
      </c>
      <c r="H21" s="355"/>
      <c r="I21" s="355"/>
      <c r="J21" s="247">
        <f t="shared" si="9"/>
        <v>12571.976999999999</v>
      </c>
      <c r="K21" s="248"/>
      <c r="L21" s="333">
        <v>11458.758</v>
      </c>
      <c r="M21" s="333">
        <v>1113.2190000000001</v>
      </c>
      <c r="N21" s="248"/>
      <c r="O21" s="248"/>
    </row>
    <row r="22" spans="1:15" s="17" customFormat="1" ht="13.5" thickTop="1" thickBot="1">
      <c r="A22" s="862"/>
      <c r="B22" s="232" t="s">
        <v>38</v>
      </c>
      <c r="C22" s="232" t="s">
        <v>39</v>
      </c>
      <c r="D22" s="361">
        <f t="shared" si="8"/>
        <v>279290</v>
      </c>
      <c r="E22" s="361">
        <f>SUM(E23:E25,E28,E29)</f>
        <v>0</v>
      </c>
      <c r="F22" s="361">
        <f>SUM(F23:F25,F28,F29)</f>
        <v>223560</v>
      </c>
      <c r="G22" s="361">
        <f>SUM(G23:G25,G28,G29)</f>
        <v>33570</v>
      </c>
      <c r="H22" s="361">
        <f>SUM(H23:H25,H28,H29)</f>
        <v>22150</v>
      </c>
      <c r="I22" s="361">
        <f>SUM(I23:I25,I28,I29)</f>
        <v>10</v>
      </c>
      <c r="J22" s="256">
        <f t="shared" si="9"/>
        <v>251179.25</v>
      </c>
      <c r="K22" s="256">
        <f>SUM(K23:K25,K28,K29)</f>
        <v>0</v>
      </c>
      <c r="L22" s="256">
        <f>SUM(L23:L25,L28,L29)</f>
        <v>200766.095</v>
      </c>
      <c r="M22" s="256">
        <f>SUM(M23:M25,M28,M29)</f>
        <v>28723.339</v>
      </c>
      <c r="N22" s="256">
        <f>SUM(N23:N25,N28,N29)</f>
        <v>21602.668999999998</v>
      </c>
      <c r="O22" s="256">
        <f>SUM(O23:O25,O28,O29)</f>
        <v>87.147000000000006</v>
      </c>
    </row>
    <row r="23" spans="1:15" ht="13.5" thickTop="1" thickBot="1">
      <c r="A23" s="862"/>
      <c r="B23" s="182" t="s">
        <v>40</v>
      </c>
      <c r="C23" s="182" t="s">
        <v>41</v>
      </c>
      <c r="D23" s="354">
        <f t="shared" si="8"/>
        <v>0</v>
      </c>
      <c r="E23" s="354">
        <f t="shared" ref="E23:I28" si="10">E7-E16</f>
        <v>0</v>
      </c>
      <c r="F23" s="354">
        <f t="shared" si="10"/>
        <v>0</v>
      </c>
      <c r="G23" s="354">
        <f t="shared" si="10"/>
        <v>0</v>
      </c>
      <c r="H23" s="354">
        <f t="shared" si="10"/>
        <v>0</v>
      </c>
      <c r="I23" s="354">
        <f t="shared" si="10"/>
        <v>0</v>
      </c>
      <c r="J23" s="247">
        <f t="shared" si="9"/>
        <v>0</v>
      </c>
      <c r="K23" s="247">
        <f t="shared" ref="K23:O28" si="11">K7-K16</f>
        <v>0</v>
      </c>
      <c r="L23" s="247">
        <f t="shared" si="11"/>
        <v>0</v>
      </c>
      <c r="M23" s="247">
        <f t="shared" si="11"/>
        <v>0</v>
      </c>
      <c r="N23" s="247">
        <f t="shared" si="11"/>
        <v>0</v>
      </c>
      <c r="O23" s="247">
        <f t="shared" si="11"/>
        <v>0</v>
      </c>
    </row>
    <row r="24" spans="1:15" ht="13.5" thickTop="1" thickBot="1">
      <c r="A24" s="862"/>
      <c r="B24" s="182" t="s">
        <v>42</v>
      </c>
      <c r="C24" s="182" t="s">
        <v>43</v>
      </c>
      <c r="D24" s="354">
        <f t="shared" si="8"/>
        <v>91747</v>
      </c>
      <c r="E24" s="354">
        <f t="shared" si="10"/>
        <v>0</v>
      </c>
      <c r="F24" s="354">
        <f t="shared" si="10"/>
        <v>63507</v>
      </c>
      <c r="G24" s="354">
        <f t="shared" si="10"/>
        <v>9300</v>
      </c>
      <c r="H24" s="354">
        <f t="shared" si="10"/>
        <v>18930</v>
      </c>
      <c r="I24" s="354">
        <f t="shared" si="10"/>
        <v>10</v>
      </c>
      <c r="J24" s="247">
        <f t="shared" si="9"/>
        <v>10625.61200000001</v>
      </c>
      <c r="K24" s="247">
        <f t="shared" si="11"/>
        <v>0</v>
      </c>
      <c r="L24" s="247">
        <f t="shared" si="11"/>
        <v>-18816.049999999988</v>
      </c>
      <c r="M24" s="247">
        <f t="shared" si="11"/>
        <v>10343.312</v>
      </c>
      <c r="N24" s="247">
        <f t="shared" si="11"/>
        <v>19011.202999999998</v>
      </c>
      <c r="O24" s="247">
        <f t="shared" si="11"/>
        <v>87.147000000000006</v>
      </c>
    </row>
    <row r="25" spans="1:15" ht="13.5" thickTop="1" thickBot="1">
      <c r="A25" s="862"/>
      <c r="B25" s="182" t="s">
        <v>44</v>
      </c>
      <c r="C25" s="182" t="s">
        <v>45</v>
      </c>
      <c r="D25" s="354">
        <f t="shared" si="8"/>
        <v>10800</v>
      </c>
      <c r="E25" s="354">
        <f t="shared" si="10"/>
        <v>0</v>
      </c>
      <c r="F25" s="354">
        <f t="shared" si="10"/>
        <v>11020</v>
      </c>
      <c r="G25" s="354">
        <f t="shared" si="10"/>
        <v>-220</v>
      </c>
      <c r="H25" s="354">
        <f t="shared" si="10"/>
        <v>0</v>
      </c>
      <c r="I25" s="354">
        <f t="shared" si="10"/>
        <v>0</v>
      </c>
      <c r="J25" s="247">
        <f t="shared" si="9"/>
        <v>-3226.1960000000004</v>
      </c>
      <c r="K25" s="247">
        <f t="shared" si="11"/>
        <v>0</v>
      </c>
      <c r="L25" s="247">
        <f t="shared" si="11"/>
        <v>-3082.0410000000002</v>
      </c>
      <c r="M25" s="247">
        <f t="shared" si="11"/>
        <v>-144.155</v>
      </c>
      <c r="N25" s="247">
        <f t="shared" si="11"/>
        <v>0</v>
      </c>
      <c r="O25" s="247">
        <f t="shared" si="11"/>
        <v>0</v>
      </c>
    </row>
    <row r="26" spans="1:15" ht="13.5" thickTop="1" thickBot="1">
      <c r="A26" s="862"/>
      <c r="B26" s="186" t="s">
        <v>46</v>
      </c>
      <c r="C26" s="187" t="s">
        <v>192</v>
      </c>
      <c r="D26" s="354">
        <f t="shared" si="8"/>
        <v>12500</v>
      </c>
      <c r="E26" s="357">
        <f t="shared" si="10"/>
        <v>0</v>
      </c>
      <c r="F26" s="357">
        <f t="shared" si="10"/>
        <v>12500</v>
      </c>
      <c r="G26" s="357">
        <f t="shared" si="10"/>
        <v>0</v>
      </c>
      <c r="H26" s="357">
        <f t="shared" si="10"/>
        <v>0</v>
      </c>
      <c r="I26" s="357">
        <f t="shared" si="10"/>
        <v>0</v>
      </c>
      <c r="J26" s="247">
        <f t="shared" si="9"/>
        <v>-1870.9410000000003</v>
      </c>
      <c r="K26" s="251">
        <f t="shared" si="11"/>
        <v>0</v>
      </c>
      <c r="L26" s="251">
        <f t="shared" si="11"/>
        <v>-1870.9410000000003</v>
      </c>
      <c r="M26" s="251">
        <f t="shared" si="11"/>
        <v>0</v>
      </c>
      <c r="N26" s="251">
        <f t="shared" si="11"/>
        <v>0</v>
      </c>
      <c r="O26" s="251">
        <f t="shared" si="11"/>
        <v>0</v>
      </c>
    </row>
    <row r="27" spans="1:15" ht="13.5" thickTop="1" thickBot="1">
      <c r="A27" s="862"/>
      <c r="B27" s="186" t="s">
        <v>47</v>
      </c>
      <c r="C27" s="187" t="s">
        <v>191</v>
      </c>
      <c r="D27" s="354">
        <f t="shared" si="8"/>
        <v>-1700</v>
      </c>
      <c r="E27" s="357">
        <f t="shared" si="10"/>
        <v>0</v>
      </c>
      <c r="F27" s="357">
        <f t="shared" si="10"/>
        <v>-1480</v>
      </c>
      <c r="G27" s="357">
        <f t="shared" si="10"/>
        <v>-220</v>
      </c>
      <c r="H27" s="357">
        <f t="shared" si="10"/>
        <v>0</v>
      </c>
      <c r="I27" s="357">
        <f t="shared" si="10"/>
        <v>0</v>
      </c>
      <c r="J27" s="247">
        <f t="shared" si="9"/>
        <v>-1355.2549999999999</v>
      </c>
      <c r="K27" s="251">
        <f t="shared" si="11"/>
        <v>0</v>
      </c>
      <c r="L27" s="251">
        <f t="shared" si="11"/>
        <v>-1211.0999999999999</v>
      </c>
      <c r="M27" s="251">
        <f t="shared" si="11"/>
        <v>-144.155</v>
      </c>
      <c r="N27" s="251">
        <f t="shared" si="11"/>
        <v>0</v>
      </c>
      <c r="O27" s="251">
        <f t="shared" si="11"/>
        <v>0</v>
      </c>
    </row>
    <row r="28" spans="1:15" ht="13.5" thickTop="1" thickBot="1">
      <c r="A28" s="862"/>
      <c r="B28" s="182" t="s">
        <v>48</v>
      </c>
      <c r="C28" s="182" t="s">
        <v>49</v>
      </c>
      <c r="D28" s="354">
        <f t="shared" si="8"/>
        <v>176743</v>
      </c>
      <c r="E28" s="354">
        <f t="shared" si="10"/>
        <v>0</v>
      </c>
      <c r="F28" s="354">
        <f t="shared" si="10"/>
        <v>149033</v>
      </c>
      <c r="G28" s="354">
        <f t="shared" si="10"/>
        <v>24490</v>
      </c>
      <c r="H28" s="354">
        <f t="shared" si="10"/>
        <v>3220</v>
      </c>
      <c r="I28" s="354">
        <f t="shared" si="10"/>
        <v>0</v>
      </c>
      <c r="J28" s="247">
        <f t="shared" si="9"/>
        <v>243779.83399999997</v>
      </c>
      <c r="K28" s="247">
        <f t="shared" si="11"/>
        <v>0</v>
      </c>
      <c r="L28" s="247">
        <f t="shared" si="11"/>
        <v>222664.18599999999</v>
      </c>
      <c r="M28" s="247">
        <f t="shared" si="11"/>
        <v>18524.182000000001</v>
      </c>
      <c r="N28" s="247">
        <f t="shared" si="11"/>
        <v>2591.4659999999999</v>
      </c>
      <c r="O28" s="247">
        <f t="shared" si="11"/>
        <v>0</v>
      </c>
    </row>
    <row r="29" spans="1:15" ht="13.5" thickTop="1" thickBot="1">
      <c r="A29" s="862"/>
      <c r="B29" s="182" t="s">
        <v>50</v>
      </c>
      <c r="C29" s="182" t="s">
        <v>25</v>
      </c>
      <c r="D29" s="354">
        <f t="shared" si="8"/>
        <v>0</v>
      </c>
      <c r="E29" s="354">
        <f>E14</f>
        <v>0</v>
      </c>
      <c r="F29" s="354">
        <f>F14</f>
        <v>0</v>
      </c>
      <c r="G29" s="354">
        <f>G14</f>
        <v>0</v>
      </c>
      <c r="H29" s="354">
        <f>H14</f>
        <v>0</v>
      </c>
      <c r="I29" s="354">
        <f>I14</f>
        <v>0</v>
      </c>
      <c r="J29" s="247">
        <f t="shared" si="9"/>
        <v>0</v>
      </c>
      <c r="K29" s="247">
        <f>K14</f>
        <v>0</v>
      </c>
      <c r="L29" s="247">
        <f>L14</f>
        <v>0</v>
      </c>
      <c r="M29" s="247">
        <f>M14</f>
        <v>0</v>
      </c>
      <c r="N29" s="247">
        <f>N14</f>
        <v>0</v>
      </c>
      <c r="O29" s="247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362">
        <f>SUM(F30:I30)</f>
        <v>348588</v>
      </c>
      <c r="E30" s="362"/>
      <c r="F30" s="362">
        <f>SUM(F31:F33)</f>
        <v>0</v>
      </c>
      <c r="G30" s="362">
        <f>SUM(G31:G33)</f>
        <v>45258</v>
      </c>
      <c r="H30" s="362">
        <f>SUM(H31:H33)</f>
        <v>180530</v>
      </c>
      <c r="I30" s="362">
        <f>SUM(I31:I33)</f>
        <v>122800</v>
      </c>
      <c r="J30" s="258">
        <f>SUM(L30:O30)</f>
        <v>303075.60139999999</v>
      </c>
      <c r="K30" s="258"/>
      <c r="L30" s="258">
        <f>SUM(L31:L33)</f>
        <v>0</v>
      </c>
      <c r="M30" s="258">
        <f>SUM(M31:M33)</f>
        <v>40434.394999999997</v>
      </c>
      <c r="N30" s="258">
        <f>SUM(N31:N33)</f>
        <v>161675.21340000001</v>
      </c>
      <c r="O30" s="258">
        <f>SUM(O31:O33)</f>
        <v>100965.993</v>
      </c>
    </row>
    <row r="31" spans="1:15" ht="13.5" thickTop="1" thickBot="1">
      <c r="A31" s="862"/>
      <c r="B31" s="182" t="s">
        <v>54</v>
      </c>
      <c r="C31" s="182" t="s">
        <v>55</v>
      </c>
      <c r="D31" s="354">
        <f t="shared" ref="D31:D43" si="12">SUM(E31:I31)</f>
        <v>150860</v>
      </c>
      <c r="E31" s="363"/>
      <c r="F31" s="364"/>
      <c r="G31" s="354">
        <f>F36</f>
        <v>45258</v>
      </c>
      <c r="H31" s="354">
        <f>F37</f>
        <v>105602</v>
      </c>
      <c r="I31" s="363"/>
      <c r="J31" s="247">
        <f t="shared" ref="J31:J43" si="13">SUM(K31:O31)</f>
        <v>134781.3174</v>
      </c>
      <c r="K31" s="259"/>
      <c r="L31" s="260"/>
      <c r="M31" s="247">
        <f>L36</f>
        <v>40434.394999999997</v>
      </c>
      <c r="N31" s="247">
        <f>L37</f>
        <v>94346.92240000001</v>
      </c>
      <c r="O31" s="259"/>
    </row>
    <row r="32" spans="1:15" ht="13.5" thickTop="1" thickBot="1">
      <c r="A32" s="862"/>
      <c r="B32" s="182" t="s">
        <v>56</v>
      </c>
      <c r="C32" s="182" t="s">
        <v>57</v>
      </c>
      <c r="D32" s="354">
        <f t="shared" si="12"/>
        <v>74928</v>
      </c>
      <c r="E32" s="363"/>
      <c r="F32" s="363"/>
      <c r="G32" s="363"/>
      <c r="H32" s="354">
        <f>G37</f>
        <v>74928</v>
      </c>
      <c r="I32" s="364">
        <f>G43</f>
        <v>0</v>
      </c>
      <c r="J32" s="247">
        <f t="shared" si="13"/>
        <v>67328.290999999997</v>
      </c>
      <c r="K32" s="259"/>
      <c r="L32" s="259"/>
      <c r="M32" s="259"/>
      <c r="N32" s="247">
        <f>M37</f>
        <v>67328.290999999997</v>
      </c>
      <c r="O32" s="260">
        <f>M43</f>
        <v>0</v>
      </c>
    </row>
    <row r="33" spans="1:18" ht="13.5" thickTop="1" thickBot="1">
      <c r="A33" s="862"/>
      <c r="B33" s="182" t="s">
        <v>58</v>
      </c>
      <c r="C33" s="182" t="s">
        <v>59</v>
      </c>
      <c r="D33" s="354">
        <f t="shared" si="12"/>
        <v>122800</v>
      </c>
      <c r="E33" s="363"/>
      <c r="F33" s="363"/>
      <c r="G33" s="363"/>
      <c r="H33" s="363"/>
      <c r="I33" s="354">
        <f>G38+H38</f>
        <v>122800</v>
      </c>
      <c r="J33" s="247">
        <f t="shared" si="13"/>
        <v>100965.993</v>
      </c>
      <c r="K33" s="259"/>
      <c r="L33" s="259"/>
      <c r="M33" s="259"/>
      <c r="N33" s="259"/>
      <c r="O33" s="247">
        <f>M38+N38</f>
        <v>100965.993</v>
      </c>
    </row>
    <row r="34" spans="1:18" ht="13.5" thickTop="1" thickBot="1">
      <c r="A34" s="862"/>
      <c r="B34" s="179" t="s">
        <v>60</v>
      </c>
      <c r="C34" s="179" t="s">
        <v>61</v>
      </c>
      <c r="D34" s="362">
        <f t="shared" si="12"/>
        <v>348588</v>
      </c>
      <c r="E34" s="362"/>
      <c r="F34" s="362">
        <f>SUM(F35:F38)</f>
        <v>150860</v>
      </c>
      <c r="G34" s="362">
        <f>SUM(G35:G38)</f>
        <v>74928</v>
      </c>
      <c r="H34" s="362">
        <f>SUM(H35:H38)</f>
        <v>122800</v>
      </c>
      <c r="I34" s="285">
        <f>SUM(I35:I38)</f>
        <v>0</v>
      </c>
      <c r="J34" s="258">
        <f t="shared" si="13"/>
        <v>303075.60139999999</v>
      </c>
      <c r="K34" s="258"/>
      <c r="L34" s="258">
        <f>SUM(L35:L38)</f>
        <v>134781.3174</v>
      </c>
      <c r="M34" s="258">
        <f>SUM(M35:M38)</f>
        <v>67328.290999999997</v>
      </c>
      <c r="N34" s="258">
        <f>SUM(N35:N38)</f>
        <v>100965.993</v>
      </c>
      <c r="O34" s="261">
        <f>SUM(O35:O38)</f>
        <v>0</v>
      </c>
    </row>
    <row r="35" spans="1:18" ht="13.5" thickTop="1" thickBot="1">
      <c r="A35" s="862"/>
      <c r="B35" s="182" t="s">
        <v>62</v>
      </c>
      <c r="C35" s="182" t="s">
        <v>63</v>
      </c>
      <c r="D35" s="354">
        <f t="shared" si="12"/>
        <v>0</v>
      </c>
      <c r="E35" s="364"/>
      <c r="F35" s="363"/>
      <c r="G35" s="363"/>
      <c r="H35" s="363"/>
      <c r="I35" s="363"/>
      <c r="J35" s="247">
        <f t="shared" si="13"/>
        <v>0</v>
      </c>
      <c r="K35" s="260"/>
      <c r="L35" s="259"/>
      <c r="M35" s="259"/>
      <c r="N35" s="259"/>
      <c r="O35" s="259"/>
    </row>
    <row r="36" spans="1:18" ht="13.5" thickTop="1" thickBot="1">
      <c r="A36" s="862"/>
      <c r="B36" s="182" t="s">
        <v>64</v>
      </c>
      <c r="C36" s="182" t="s">
        <v>65</v>
      </c>
      <c r="D36" s="354">
        <f t="shared" si="12"/>
        <v>45258</v>
      </c>
      <c r="E36" s="354"/>
      <c r="F36" s="333">
        <v>45258</v>
      </c>
      <c r="G36" s="259"/>
      <c r="H36" s="259"/>
      <c r="I36" s="363"/>
      <c r="J36" s="247">
        <f t="shared" si="13"/>
        <v>40434.394999999997</v>
      </c>
      <c r="K36" s="247"/>
      <c r="L36" s="333">
        <v>40434.394999999997</v>
      </c>
      <c r="M36" s="259"/>
      <c r="N36" s="259"/>
      <c r="O36" s="259"/>
      <c r="P36" s="81"/>
    </row>
    <row r="37" spans="1:18" ht="13.5" thickTop="1" thickBot="1">
      <c r="A37" s="862"/>
      <c r="B37" s="182" t="s">
        <v>66</v>
      </c>
      <c r="C37" s="182" t="s">
        <v>67</v>
      </c>
      <c r="D37" s="354">
        <f t="shared" si="12"/>
        <v>180530</v>
      </c>
      <c r="E37" s="354"/>
      <c r="F37" s="333">
        <v>105602</v>
      </c>
      <c r="G37" s="333">
        <v>74928</v>
      </c>
      <c r="H37" s="259"/>
      <c r="I37" s="363"/>
      <c r="J37" s="247">
        <f t="shared" si="13"/>
        <v>161675.21340000001</v>
      </c>
      <c r="K37" s="247"/>
      <c r="L37" s="333">
        <v>94346.92240000001</v>
      </c>
      <c r="M37" s="333">
        <v>67328.290999999997</v>
      </c>
      <c r="N37" s="259"/>
      <c r="O37" s="259"/>
      <c r="P37" s="81"/>
      <c r="Q37" s="318"/>
    </row>
    <row r="38" spans="1:18" ht="13.5" thickTop="1" thickBot="1">
      <c r="A38" s="862"/>
      <c r="B38" s="182" t="s">
        <v>68</v>
      </c>
      <c r="C38" s="182" t="s">
        <v>69</v>
      </c>
      <c r="D38" s="354">
        <f t="shared" si="12"/>
        <v>122800</v>
      </c>
      <c r="E38" s="363"/>
      <c r="F38" s="259"/>
      <c r="G38" s="260"/>
      <c r="H38" s="333">
        <v>122800</v>
      </c>
      <c r="I38" s="363"/>
      <c r="J38" s="247">
        <f t="shared" si="13"/>
        <v>100965.993</v>
      </c>
      <c r="K38" s="259"/>
      <c r="L38" s="259"/>
      <c r="M38" s="260"/>
      <c r="N38" s="333">
        <v>100965.993</v>
      </c>
      <c r="O38" s="259"/>
      <c r="R38" s="318"/>
    </row>
    <row r="39" spans="1:18" s="17" customFormat="1" ht="13.5" thickTop="1" thickBot="1">
      <c r="A39" s="862"/>
      <c r="B39" s="232" t="s">
        <v>70</v>
      </c>
      <c r="C39" s="232" t="s">
        <v>71</v>
      </c>
      <c r="D39" s="365">
        <f t="shared" si="12"/>
        <v>0</v>
      </c>
      <c r="E39" s="365"/>
      <c r="F39" s="365">
        <f>SUM(F40:F43)</f>
        <v>-150860</v>
      </c>
      <c r="G39" s="365">
        <f>SUM(G40:G43)</f>
        <v>-29670</v>
      </c>
      <c r="H39" s="365">
        <f>SUM(H40:H43)</f>
        <v>57730</v>
      </c>
      <c r="I39" s="365">
        <f>SUM(I40:I43)</f>
        <v>122800</v>
      </c>
      <c r="J39" s="262">
        <f t="shared" si="13"/>
        <v>0</v>
      </c>
      <c r="K39" s="262"/>
      <c r="L39" s="262">
        <f>SUM(L40:L43)</f>
        <v>-134781.3174</v>
      </c>
      <c r="M39" s="262">
        <f>SUM(M40:M43)</f>
        <v>-26893.896000000001</v>
      </c>
      <c r="N39" s="262">
        <f>SUM(N40:N43)</f>
        <v>60709.220400000006</v>
      </c>
      <c r="O39" s="262">
        <f>SUM(O40:O43)</f>
        <v>100965.993</v>
      </c>
    </row>
    <row r="40" spans="1:18" ht="13.5" thickTop="1" thickBot="1">
      <c r="A40" s="862"/>
      <c r="B40" s="182" t="s">
        <v>72</v>
      </c>
      <c r="C40" s="182" t="s">
        <v>5</v>
      </c>
      <c r="D40" s="366">
        <f t="shared" si="12"/>
        <v>150860</v>
      </c>
      <c r="E40" s="367"/>
      <c r="F40" s="367">
        <f>F31-F35</f>
        <v>0</v>
      </c>
      <c r="G40" s="367">
        <f>G31-G35</f>
        <v>45258</v>
      </c>
      <c r="H40" s="367">
        <f>H31-H35</f>
        <v>105602</v>
      </c>
      <c r="I40" s="368"/>
      <c r="J40" s="264">
        <f t="shared" si="13"/>
        <v>134781.3174</v>
      </c>
      <c r="K40" s="265"/>
      <c r="L40" s="265">
        <f>L31-L35</f>
        <v>0</v>
      </c>
      <c r="M40" s="265">
        <f>M31-M35</f>
        <v>40434.394999999997</v>
      </c>
      <c r="N40" s="265">
        <f>N31-N35</f>
        <v>94346.92240000001</v>
      </c>
      <c r="O40" s="266"/>
    </row>
    <row r="41" spans="1:18" ht="13.5" thickTop="1" thickBot="1">
      <c r="A41" s="862"/>
      <c r="B41" s="182" t="s">
        <v>73</v>
      </c>
      <c r="C41" s="182" t="s">
        <v>74</v>
      </c>
      <c r="D41" s="366">
        <f t="shared" si="12"/>
        <v>29670</v>
      </c>
      <c r="E41" s="367">
        <f>E32-E36</f>
        <v>0</v>
      </c>
      <c r="F41" s="367">
        <f>F32-F36</f>
        <v>-45258</v>
      </c>
      <c r="G41" s="368"/>
      <c r="H41" s="367">
        <f>H32-H36</f>
        <v>74928</v>
      </c>
      <c r="I41" s="368"/>
      <c r="J41" s="264">
        <f t="shared" si="13"/>
        <v>26893.896000000001</v>
      </c>
      <c r="K41" s="265">
        <f>K32-K36</f>
        <v>0</v>
      </c>
      <c r="L41" s="265">
        <f>L32-L36</f>
        <v>-40434.394999999997</v>
      </c>
      <c r="M41" s="266"/>
      <c r="N41" s="265">
        <f>N32-N36</f>
        <v>67328.290999999997</v>
      </c>
      <c r="O41" s="266"/>
    </row>
    <row r="42" spans="1:18" ht="13.5" thickTop="1" thickBot="1">
      <c r="A42" s="862"/>
      <c r="B42" s="182" t="s">
        <v>75</v>
      </c>
      <c r="C42" s="182" t="s">
        <v>76</v>
      </c>
      <c r="D42" s="366">
        <f t="shared" si="12"/>
        <v>-57730</v>
      </c>
      <c r="E42" s="367">
        <f>E33-E37</f>
        <v>0</v>
      </c>
      <c r="F42" s="367">
        <f>F33-F37</f>
        <v>-105602</v>
      </c>
      <c r="G42" s="367">
        <f>G33-G37</f>
        <v>-74928</v>
      </c>
      <c r="H42" s="368"/>
      <c r="I42" s="367">
        <f>I33-I37</f>
        <v>122800</v>
      </c>
      <c r="J42" s="264">
        <f t="shared" si="13"/>
        <v>-60709.220400000006</v>
      </c>
      <c r="K42" s="265">
        <f>K33-K37</f>
        <v>0</v>
      </c>
      <c r="L42" s="265">
        <f>L33-L37</f>
        <v>-94346.92240000001</v>
      </c>
      <c r="M42" s="265">
        <f>M33-M37</f>
        <v>-67328.290999999997</v>
      </c>
      <c r="N42" s="266"/>
      <c r="O42" s="265">
        <f>O33-O37</f>
        <v>100965.993</v>
      </c>
    </row>
    <row r="43" spans="1:18" ht="13.5" thickTop="1" thickBot="1">
      <c r="A43" s="862"/>
      <c r="B43" s="199" t="s">
        <v>77</v>
      </c>
      <c r="C43" s="199" t="s">
        <v>8</v>
      </c>
      <c r="D43" s="367">
        <f t="shared" si="12"/>
        <v>-122800</v>
      </c>
      <c r="E43" s="368"/>
      <c r="F43" s="368"/>
      <c r="G43" s="367"/>
      <c r="H43" s="367">
        <f>-H38</f>
        <v>-122800</v>
      </c>
      <c r="I43" s="368"/>
      <c r="J43" s="265">
        <f t="shared" si="13"/>
        <v>-100965.993</v>
      </c>
      <c r="K43" s="266"/>
      <c r="L43" s="266"/>
      <c r="M43" s="265"/>
      <c r="N43" s="265">
        <f>-N38</f>
        <v>-100965.993</v>
      </c>
      <c r="O43" s="266"/>
    </row>
    <row r="44" spans="1:18" ht="13.5" thickTop="1" thickBot="1">
      <c r="A44" s="177"/>
      <c r="B44" s="200" t="s">
        <v>78</v>
      </c>
      <c r="C44" s="200" t="s">
        <v>79</v>
      </c>
      <c r="D44" s="201">
        <f>D22</f>
        <v>279290</v>
      </c>
      <c r="E44" s="201">
        <f>E22+E30</f>
        <v>0</v>
      </c>
      <c r="F44" s="201">
        <f>F22+F30</f>
        <v>223560</v>
      </c>
      <c r="G44" s="201">
        <f>G22+G30</f>
        <v>78828</v>
      </c>
      <c r="H44" s="201">
        <f>H22+H30</f>
        <v>202680</v>
      </c>
      <c r="I44" s="201">
        <f>I22+I30</f>
        <v>122810</v>
      </c>
      <c r="J44" s="201">
        <f>J22</f>
        <v>251179.25</v>
      </c>
      <c r="K44" s="201">
        <f>K22+K30</f>
        <v>0</v>
      </c>
      <c r="L44" s="201">
        <f>L22+L30</f>
        <v>200766.095</v>
      </c>
      <c r="M44" s="201">
        <f>M22+M30</f>
        <v>69157.733999999997</v>
      </c>
      <c r="N44" s="201">
        <f>N22+N30</f>
        <v>183277.8824</v>
      </c>
      <c r="O44" s="201">
        <f>O22+O30</f>
        <v>101053.14</v>
      </c>
    </row>
    <row r="45" spans="1:18" ht="13.5" thickTop="1" thickBot="1">
      <c r="A45" s="177"/>
      <c r="B45" s="202" t="s">
        <v>80</v>
      </c>
      <c r="C45" s="202" t="s">
        <v>81</v>
      </c>
      <c r="D45" s="203">
        <f>D44</f>
        <v>279290</v>
      </c>
      <c r="E45" s="203">
        <f>E143+E151+E34</f>
        <v>0</v>
      </c>
      <c r="F45" s="203">
        <f>F143+F151+F34-G49-H49-G73-H73-G78-H78-H54-H97-H109-G97-G102-H102-G109-G114-H114-G121-H121-G126-H126-G133-H133</f>
        <v>223560</v>
      </c>
      <c r="G45" s="203">
        <f>G143+G151+G34-H50-I50-H55-I55-H62-I62-H67-I67-H98-H74-H79-H86-H91-H103-H110-H115-H122-H127-H134</f>
        <v>77204.600000000006</v>
      </c>
      <c r="H45" s="203">
        <f>H143+H151+H34-I51-I56-I63-I68-I75-I80-I87-I92-I99-I104-I111-I116-I123-I128</f>
        <v>184800</v>
      </c>
      <c r="I45" s="203">
        <f>I151+I143</f>
        <v>122275.29999999999</v>
      </c>
      <c r="J45" s="203">
        <f>J44</f>
        <v>251179.25</v>
      </c>
      <c r="K45" s="203">
        <f>K143+K151+K34</f>
        <v>0</v>
      </c>
      <c r="L45" s="203">
        <f>L143+L151+L34-M49-N49-M73-N73-M78-N78-N54-N97-N109-M97-M102-N102-M109-M114-N114-M121-N121-M126-N126-M133-N133</f>
        <v>200766.095</v>
      </c>
      <c r="M45" s="203">
        <f>M143+M151+M34-N50-O50-N55-O55-N62-O62-N67-O67-N98-N74-N79-N86-N91-N103-N110-N115-N122-N127-N134</f>
        <v>69105.164999999994</v>
      </c>
      <c r="N45" s="203">
        <f>N143+N151+N34-O51-O56-O63-O68-O75-O80-O87-O92-O99-O104-O111-O116-O123-O128</f>
        <v>163304.11900000001</v>
      </c>
      <c r="O45" s="203">
        <f>O151+O143</f>
        <v>99953.319999999992</v>
      </c>
      <c r="Q45" s="24"/>
    </row>
    <row r="46" spans="1:18" ht="13.5" thickTop="1" thickBot="1">
      <c r="A46" s="862" t="s">
        <v>82</v>
      </c>
      <c r="B46" s="179" t="s">
        <v>83</v>
      </c>
      <c r="C46" s="179" t="s">
        <v>84</v>
      </c>
      <c r="D46" s="181">
        <f>SUM(E46:I46)</f>
        <v>256850</v>
      </c>
      <c r="E46" s="322">
        <f>E47+E59+E71+E83+E95</f>
        <v>0</v>
      </c>
      <c r="F46" s="322">
        <f>F47+F59+F71+F83+F95+F107+F119+F131</f>
        <v>69100</v>
      </c>
      <c r="G46" s="322">
        <f>G47+G59+G71+G83+G95+G107+G119+G131</f>
        <v>2200</v>
      </c>
      <c r="H46" s="322">
        <f>H47+H59+H71+H83+H95+H107+H119+H131</f>
        <v>73280</v>
      </c>
      <c r="I46" s="322">
        <f>I47+I59+I71+I83+I95+I107+I119+I131</f>
        <v>112270</v>
      </c>
      <c r="J46" s="181">
        <f>SUM(K46:O46)</f>
        <v>236125.94500000001</v>
      </c>
      <c r="K46" s="322">
        <f>K47+K59+K71+K83+K95</f>
        <v>0</v>
      </c>
      <c r="L46" s="322">
        <f>L47+L59+L71+L83+L95+L107+L119+L131</f>
        <v>63396.0026</v>
      </c>
      <c r="M46" s="322">
        <f>M47+M59+M71+M83+M95+M107+M119+M131</f>
        <v>621.52199999999993</v>
      </c>
      <c r="N46" s="322">
        <f>N47+N59+N71+N83+N95+N107+N119+N131</f>
        <v>75927.6394</v>
      </c>
      <c r="O46" s="322">
        <f>O47+O59+O71+O83+O95+O107+O119+O131</f>
        <v>96180.781000000003</v>
      </c>
    </row>
    <row r="47" spans="1:18" s="3" customFormat="1" ht="13.5" thickTop="1" thickBot="1">
      <c r="A47" s="862"/>
      <c r="B47" s="270" t="s">
        <v>85</v>
      </c>
      <c r="C47" s="271" t="s">
        <v>86</v>
      </c>
      <c r="D47" s="369">
        <f t="shared" ref="D47:D94" si="14">SUM(E47:I47)</f>
        <v>180760</v>
      </c>
      <c r="E47" s="370"/>
      <c r="F47" s="478">
        <v>1530</v>
      </c>
      <c r="G47" s="478">
        <v>670</v>
      </c>
      <c r="H47" s="479">
        <v>66790</v>
      </c>
      <c r="I47" s="478">
        <v>111770</v>
      </c>
      <c r="J47" s="272">
        <f t="shared" ref="J47:J94" si="15">SUM(K47:O47)</f>
        <v>166329.921</v>
      </c>
      <c r="K47" s="273"/>
      <c r="L47" s="273">
        <f>17786.164-N49-N54</f>
        <v>1343.1745999999985</v>
      </c>
      <c r="M47" s="584">
        <f>1005.307-N50</f>
        <v>568.95299999999997</v>
      </c>
      <c r="N47" s="273">
        <f>188.912+52139.828+N49+N50+N54</f>
        <v>69208.083400000003</v>
      </c>
      <c r="O47" s="273">
        <f>974.96+94234.75</f>
        <v>95209.71</v>
      </c>
      <c r="Q47" s="720"/>
    </row>
    <row r="48" spans="1:18" ht="13.5" thickTop="1" thickBot="1">
      <c r="A48" s="862"/>
      <c r="B48" s="263" t="s">
        <v>87</v>
      </c>
      <c r="C48" s="263" t="s">
        <v>88</v>
      </c>
      <c r="D48" s="367">
        <f t="shared" si="14"/>
        <v>0</v>
      </c>
      <c r="E48" s="367"/>
      <c r="F48" s="367"/>
      <c r="G48" s="367"/>
      <c r="H48" s="367"/>
      <c r="I48" s="367"/>
      <c r="J48" s="265">
        <f t="shared" si="15"/>
        <v>0</v>
      </c>
      <c r="K48" s="265"/>
      <c r="L48" s="265"/>
      <c r="M48" s="265"/>
      <c r="N48" s="265"/>
      <c r="O48" s="265"/>
    </row>
    <row r="49" spans="1:17" ht="13.5" thickTop="1" thickBot="1">
      <c r="A49" s="862"/>
      <c r="B49" s="275"/>
      <c r="C49" s="276" t="s">
        <v>89</v>
      </c>
      <c r="D49" s="371">
        <f t="shared" si="14"/>
        <v>10100</v>
      </c>
      <c r="E49" s="372"/>
      <c r="F49" s="372"/>
      <c r="G49" s="371"/>
      <c r="H49" s="373">
        <v>10100</v>
      </c>
      <c r="I49" s="372"/>
      <c r="J49" s="277">
        <f t="shared" si="15"/>
        <v>11252.935400000002</v>
      </c>
      <c r="K49" s="278"/>
      <c r="L49" s="278"/>
      <c r="M49" s="277"/>
      <c r="N49" s="277">
        <v>11252.935400000002</v>
      </c>
      <c r="O49" s="278"/>
    </row>
    <row r="50" spans="1:17" ht="13.5" thickTop="1" thickBot="1">
      <c r="A50" s="862"/>
      <c r="B50" s="275"/>
      <c r="C50" s="276" t="s">
        <v>90</v>
      </c>
      <c r="D50" s="371">
        <f t="shared" si="14"/>
        <v>1400</v>
      </c>
      <c r="E50" s="372"/>
      <c r="F50" s="372"/>
      <c r="G50" s="372"/>
      <c r="H50" s="371">
        <v>1400</v>
      </c>
      <c r="I50" s="371"/>
      <c r="J50" s="277">
        <f t="shared" si="15"/>
        <v>436.35400000000004</v>
      </c>
      <c r="K50" s="278"/>
      <c r="L50" s="278"/>
      <c r="M50" s="278"/>
      <c r="N50" s="277">
        <v>436.35400000000004</v>
      </c>
      <c r="O50" s="277"/>
    </row>
    <row r="51" spans="1:17" ht="13.5" thickTop="1" thickBot="1">
      <c r="A51" s="862"/>
      <c r="B51" s="275"/>
      <c r="C51" s="276" t="s">
        <v>91</v>
      </c>
      <c r="D51" s="371">
        <f t="shared" si="14"/>
        <v>0</v>
      </c>
      <c r="E51" s="372"/>
      <c r="F51" s="372"/>
      <c r="G51" s="372"/>
      <c r="H51" s="372"/>
      <c r="I51" s="371"/>
      <c r="J51" s="277">
        <f t="shared" si="15"/>
        <v>0</v>
      </c>
      <c r="K51" s="278"/>
      <c r="L51" s="278"/>
      <c r="M51" s="278"/>
      <c r="N51" s="278"/>
      <c r="O51" s="277"/>
      <c r="P51" s="321"/>
    </row>
    <row r="52" spans="1:17" ht="13.5" thickTop="1" thickBot="1">
      <c r="A52" s="862"/>
      <c r="B52" s="263" t="s">
        <v>92</v>
      </c>
      <c r="C52" s="263" t="s">
        <v>93</v>
      </c>
      <c r="D52" s="367">
        <f t="shared" si="14"/>
        <v>0</v>
      </c>
      <c r="E52" s="367"/>
      <c r="F52" s="384"/>
      <c r="G52" s="384"/>
      <c r="H52" s="384"/>
      <c r="I52" s="384"/>
      <c r="J52" s="265">
        <f t="shared" si="15"/>
        <v>0</v>
      </c>
      <c r="K52" s="387"/>
      <c r="L52" s="385"/>
      <c r="M52" s="340"/>
      <c r="N52" s="385"/>
      <c r="O52" s="283"/>
    </row>
    <row r="53" spans="1:17" ht="13.5" thickTop="1" thickBot="1">
      <c r="A53" s="862"/>
      <c r="B53" s="263" t="s">
        <v>94</v>
      </c>
      <c r="C53" s="263" t="s">
        <v>95</v>
      </c>
      <c r="D53" s="374">
        <f t="shared" si="14"/>
        <v>15189</v>
      </c>
      <c r="E53" s="376"/>
      <c r="F53" s="376"/>
      <c r="G53" s="375">
        <v>553</v>
      </c>
      <c r="H53" s="375">
        <f>538+14098</f>
        <v>14636</v>
      </c>
      <c r="I53" s="367"/>
      <c r="J53" s="280">
        <f t="shared" si="15"/>
        <v>15972.964000000002</v>
      </c>
      <c r="K53" s="238"/>
      <c r="L53" s="238"/>
      <c r="M53" s="737">
        <v>568.95299999999997</v>
      </c>
      <c r="N53" s="281">
        <v>15396.811000000002</v>
      </c>
      <c r="O53" s="735">
        <v>7.2</v>
      </c>
      <c r="P53" s="321"/>
    </row>
    <row r="54" spans="1:17" ht="13.5" thickTop="1" thickBot="1">
      <c r="A54" s="862"/>
      <c r="B54" s="275"/>
      <c r="C54" s="276" t="s">
        <v>89</v>
      </c>
      <c r="D54" s="371">
        <f t="shared" si="14"/>
        <v>850</v>
      </c>
      <c r="E54" s="377"/>
      <c r="F54" s="377"/>
      <c r="G54" s="376"/>
      <c r="H54" s="376">
        <v>850</v>
      </c>
      <c r="I54" s="372"/>
      <c r="J54" s="277">
        <f t="shared" si="15"/>
        <v>5190.0540000000001</v>
      </c>
      <c r="K54" s="282"/>
      <c r="L54" s="282"/>
      <c r="M54" s="238"/>
      <c r="N54" s="238">
        <v>5190.0540000000001</v>
      </c>
      <c r="O54" s="278"/>
    </row>
    <row r="55" spans="1:17" ht="13.5" thickTop="1" thickBot="1">
      <c r="A55" s="862"/>
      <c r="B55" s="275"/>
      <c r="C55" s="276" t="s">
        <v>90</v>
      </c>
      <c r="D55" s="371">
        <f t="shared" si="14"/>
        <v>0</v>
      </c>
      <c r="E55" s="372"/>
      <c r="F55" s="372"/>
      <c r="G55" s="372"/>
      <c r="H55" s="371"/>
      <c r="I55" s="371"/>
      <c r="J55" s="277">
        <f t="shared" si="15"/>
        <v>0</v>
      </c>
      <c r="K55" s="278"/>
      <c r="L55" s="278"/>
      <c r="M55" s="278"/>
      <c r="N55" s="277"/>
      <c r="O55" s="277"/>
    </row>
    <row r="56" spans="1:17" ht="13.5" thickTop="1" thickBot="1">
      <c r="A56" s="862"/>
      <c r="B56" s="275"/>
      <c r="C56" s="276" t="s">
        <v>91</v>
      </c>
      <c r="D56" s="371">
        <f t="shared" si="14"/>
        <v>0</v>
      </c>
      <c r="E56" s="372"/>
      <c r="F56" s="372"/>
      <c r="G56" s="372"/>
      <c r="H56" s="372"/>
      <c r="I56" s="371"/>
      <c r="J56" s="277">
        <f t="shared" si="15"/>
        <v>0</v>
      </c>
      <c r="K56" s="278"/>
      <c r="L56" s="278"/>
      <c r="M56" s="278"/>
      <c r="N56" s="278"/>
      <c r="O56" s="277"/>
    </row>
    <row r="57" spans="1:17" ht="13.5" thickTop="1" thickBot="1">
      <c r="A57" s="862"/>
      <c r="B57" s="263" t="s">
        <v>96</v>
      </c>
      <c r="C57" s="263" t="s">
        <v>97</v>
      </c>
      <c r="D57" s="367">
        <f t="shared" si="14"/>
        <v>262</v>
      </c>
      <c r="E57" s="367"/>
      <c r="F57" s="367"/>
      <c r="G57" s="367"/>
      <c r="H57" s="329">
        <v>262</v>
      </c>
      <c r="I57" s="367"/>
      <c r="J57" s="265">
        <f t="shared" si="15"/>
        <v>183.09449499999999</v>
      </c>
      <c r="K57" s="265"/>
      <c r="L57" s="265"/>
      <c r="M57" s="265"/>
      <c r="N57" s="340">
        <v>183.09449499999999</v>
      </c>
      <c r="O57" s="265"/>
    </row>
    <row r="58" spans="1:17" ht="13.5" thickTop="1" thickBot="1">
      <c r="A58" s="862"/>
      <c r="B58" s="263" t="s">
        <v>98</v>
      </c>
      <c r="C58" s="263" t="s">
        <v>99</v>
      </c>
      <c r="D58" s="367">
        <f t="shared" si="14"/>
        <v>0</v>
      </c>
      <c r="E58" s="367"/>
      <c r="F58" s="367"/>
      <c r="G58" s="367"/>
      <c r="H58" s="323"/>
      <c r="I58" s="367"/>
      <c r="J58" s="265">
        <f t="shared" si="15"/>
        <v>0</v>
      </c>
      <c r="K58" s="265"/>
      <c r="L58" s="265"/>
      <c r="M58" s="265"/>
      <c r="N58" s="283"/>
      <c r="O58" s="265"/>
    </row>
    <row r="59" spans="1:17" ht="13.5" thickTop="1" thickBot="1">
      <c r="A59" s="862"/>
      <c r="B59" s="204" t="s">
        <v>171</v>
      </c>
      <c r="C59" s="205" t="s">
        <v>190</v>
      </c>
      <c r="D59" s="325">
        <f t="shared" si="14"/>
        <v>2150</v>
      </c>
      <c r="E59" s="339"/>
      <c r="F59" s="339">
        <v>1310</v>
      </c>
      <c r="G59" s="284"/>
      <c r="H59" s="339">
        <v>340</v>
      </c>
      <c r="I59" s="339">
        <v>500</v>
      </c>
      <c r="J59" s="206">
        <f t="shared" si="15"/>
        <v>2053.8310000000001</v>
      </c>
      <c r="K59" s="339"/>
      <c r="L59" s="339">
        <v>1097.3050000000001</v>
      </c>
      <c r="M59" s="214"/>
      <c r="N59" s="339">
        <f>377.036+9.227</f>
        <v>386.26299999999998</v>
      </c>
      <c r="O59" s="339">
        <v>570.26300000000003</v>
      </c>
      <c r="Q59" s="321"/>
    </row>
    <row r="60" spans="1:17" ht="13.5" thickTop="1" thickBot="1">
      <c r="A60" s="862"/>
      <c r="B60" s="182" t="s">
        <v>172</v>
      </c>
      <c r="C60" s="182" t="s">
        <v>88</v>
      </c>
      <c r="D60" s="324">
        <f t="shared" si="14"/>
        <v>0</v>
      </c>
      <c r="E60" s="324"/>
      <c r="F60" s="324"/>
      <c r="G60" s="324"/>
      <c r="H60" s="324"/>
      <c r="I60" s="324"/>
      <c r="J60" s="196">
        <f t="shared" si="15"/>
        <v>0</v>
      </c>
      <c r="K60" s="196"/>
      <c r="L60" s="196"/>
      <c r="M60" s="196"/>
      <c r="N60" s="196"/>
      <c r="O60" s="196"/>
    </row>
    <row r="61" spans="1:17" ht="13.5" thickTop="1" thickBot="1">
      <c r="A61" s="862"/>
      <c r="B61" s="207"/>
      <c r="C61" s="208" t="s">
        <v>89</v>
      </c>
      <c r="D61" s="326">
        <f t="shared" si="14"/>
        <v>0</v>
      </c>
      <c r="E61" s="327"/>
      <c r="F61" s="327"/>
      <c r="G61" s="326"/>
      <c r="H61" s="326"/>
      <c r="I61" s="327"/>
      <c r="J61" s="209">
        <f t="shared" si="15"/>
        <v>0</v>
      </c>
      <c r="K61" s="210"/>
      <c r="L61" s="210"/>
      <c r="M61" s="381"/>
      <c r="N61" s="381"/>
      <c r="O61" s="210"/>
      <c r="Q61" s="318"/>
    </row>
    <row r="62" spans="1:17" ht="13.5" thickTop="1" thickBot="1">
      <c r="A62" s="862"/>
      <c r="B62" s="207"/>
      <c r="C62" s="208" t="s">
        <v>90</v>
      </c>
      <c r="D62" s="326">
        <f t="shared" si="14"/>
        <v>0</v>
      </c>
      <c r="E62" s="327"/>
      <c r="F62" s="327"/>
      <c r="G62" s="327"/>
      <c r="H62" s="326"/>
      <c r="I62" s="326"/>
      <c r="J62" s="209">
        <f t="shared" si="15"/>
        <v>0</v>
      </c>
      <c r="K62" s="210"/>
      <c r="L62" s="210"/>
      <c r="M62" s="382"/>
      <c r="N62" s="381"/>
      <c r="O62" s="209"/>
    </row>
    <row r="63" spans="1:17" ht="13.5" thickTop="1" thickBot="1">
      <c r="A63" s="862"/>
      <c r="B63" s="207"/>
      <c r="C63" s="208" t="s">
        <v>91</v>
      </c>
      <c r="D63" s="326">
        <f t="shared" si="14"/>
        <v>0</v>
      </c>
      <c r="E63" s="327"/>
      <c r="F63" s="327"/>
      <c r="G63" s="327"/>
      <c r="H63" s="327"/>
      <c r="I63" s="326"/>
      <c r="J63" s="209">
        <f t="shared" si="15"/>
        <v>0</v>
      </c>
      <c r="K63" s="210"/>
      <c r="L63" s="210"/>
      <c r="M63" s="210"/>
      <c r="N63" s="210"/>
      <c r="O63" s="209"/>
      <c r="Q63" s="24"/>
    </row>
    <row r="64" spans="1:17" ht="13.5" thickTop="1" thickBot="1">
      <c r="A64" s="862"/>
      <c r="B64" s="182" t="s">
        <v>173</v>
      </c>
      <c r="C64" s="182" t="s">
        <v>93</v>
      </c>
      <c r="D64" s="324">
        <f t="shared" si="14"/>
        <v>0</v>
      </c>
      <c r="E64" s="432"/>
      <c r="F64" s="432"/>
      <c r="G64" s="328"/>
      <c r="H64" s="328"/>
      <c r="I64" s="324"/>
      <c r="J64" s="196">
        <f t="shared" si="15"/>
        <v>0</v>
      </c>
      <c r="K64" s="334"/>
      <c r="L64" s="334"/>
      <c r="M64" s="211"/>
      <c r="N64" s="211"/>
      <c r="O64" s="196"/>
    </row>
    <row r="65" spans="1:16" ht="13.5" thickTop="1" thickBot="1">
      <c r="A65" s="862"/>
      <c r="B65" s="182" t="s">
        <v>174</v>
      </c>
      <c r="C65" s="182" t="s">
        <v>95</v>
      </c>
      <c r="D65" s="330">
        <f t="shared" si="14"/>
        <v>0</v>
      </c>
      <c r="E65" s="378"/>
      <c r="F65" s="326"/>
      <c r="G65" s="326"/>
      <c r="H65" s="326"/>
      <c r="I65" s="324"/>
      <c r="J65" s="213">
        <f t="shared" si="15"/>
        <v>0</v>
      </c>
      <c r="K65" s="319"/>
      <c r="L65" s="209"/>
      <c r="M65" s="209"/>
      <c r="N65" s="209"/>
      <c r="O65" s="196"/>
    </row>
    <row r="66" spans="1:16" ht="13.5" thickTop="1" thickBot="1">
      <c r="A66" s="862"/>
      <c r="B66" s="207"/>
      <c r="C66" s="208" t="s">
        <v>89</v>
      </c>
      <c r="D66" s="326">
        <f t="shared" si="14"/>
        <v>0</v>
      </c>
      <c r="E66" s="327"/>
      <c r="F66" s="327"/>
      <c r="G66" s="326"/>
      <c r="H66" s="326"/>
      <c r="I66" s="327"/>
      <c r="J66" s="209">
        <f t="shared" si="15"/>
        <v>0</v>
      </c>
      <c r="K66" s="210"/>
      <c r="L66" s="210"/>
      <c r="M66" s="209"/>
      <c r="N66" s="209"/>
      <c r="O66" s="210"/>
    </row>
    <row r="67" spans="1:16" ht="13.5" thickTop="1" thickBot="1">
      <c r="A67" s="862"/>
      <c r="B67" s="207"/>
      <c r="C67" s="208" t="s">
        <v>90</v>
      </c>
      <c r="D67" s="326">
        <f t="shared" si="14"/>
        <v>0</v>
      </c>
      <c r="E67" s="327"/>
      <c r="F67" s="327"/>
      <c r="G67" s="327"/>
      <c r="H67" s="326"/>
      <c r="I67" s="326"/>
      <c r="J67" s="209">
        <f t="shared" si="15"/>
        <v>0</v>
      </c>
      <c r="K67" s="210"/>
      <c r="L67" s="210"/>
      <c r="M67" s="210"/>
      <c r="N67" s="209"/>
      <c r="O67" s="209"/>
    </row>
    <row r="68" spans="1:16" ht="13.5" thickTop="1" thickBot="1">
      <c r="A68" s="862"/>
      <c r="B68" s="207"/>
      <c r="C68" s="208" t="s">
        <v>91</v>
      </c>
      <c r="D68" s="326">
        <f t="shared" si="14"/>
        <v>0</v>
      </c>
      <c r="E68" s="327"/>
      <c r="F68" s="327"/>
      <c r="G68" s="327"/>
      <c r="H68" s="327"/>
      <c r="I68" s="326"/>
      <c r="J68" s="209">
        <f t="shared" si="15"/>
        <v>0</v>
      </c>
      <c r="K68" s="210"/>
      <c r="L68" s="210"/>
      <c r="M68" s="210"/>
      <c r="N68" s="210"/>
      <c r="O68" s="209"/>
    </row>
    <row r="69" spans="1:16" ht="13.5" thickTop="1" thickBot="1">
      <c r="A69" s="862"/>
      <c r="B69" s="182" t="s">
        <v>176</v>
      </c>
      <c r="C69" s="182" t="s">
        <v>97</v>
      </c>
      <c r="D69" s="324">
        <f t="shared" si="14"/>
        <v>0</v>
      </c>
      <c r="E69" s="324"/>
      <c r="F69" s="324"/>
      <c r="G69" s="324"/>
      <c r="H69" s="323"/>
      <c r="I69" s="324"/>
      <c r="J69" s="196">
        <f t="shared" si="15"/>
        <v>0</v>
      </c>
      <c r="K69" s="196"/>
      <c r="L69" s="196"/>
      <c r="M69" s="196"/>
      <c r="N69" s="185"/>
      <c r="O69" s="196"/>
    </row>
    <row r="70" spans="1:16" ht="13.5" thickTop="1" thickBot="1">
      <c r="A70" s="862"/>
      <c r="B70" s="182" t="s">
        <v>175</v>
      </c>
      <c r="C70" s="182" t="s">
        <v>99</v>
      </c>
      <c r="D70" s="324">
        <f t="shared" si="14"/>
        <v>0</v>
      </c>
      <c r="E70" s="324"/>
      <c r="F70" s="324"/>
      <c r="G70" s="324"/>
      <c r="H70" s="323"/>
      <c r="I70" s="324"/>
      <c r="J70" s="196">
        <f t="shared" si="15"/>
        <v>0</v>
      </c>
      <c r="K70" s="196"/>
      <c r="L70" s="196"/>
      <c r="M70" s="196"/>
      <c r="N70" s="185"/>
      <c r="O70" s="196"/>
    </row>
    <row r="71" spans="1:16" ht="13.5" thickTop="1" thickBot="1">
      <c r="A71" s="862"/>
      <c r="B71" s="204" t="s">
        <v>177</v>
      </c>
      <c r="C71" s="205" t="s">
        <v>203</v>
      </c>
      <c r="D71" s="325">
        <f t="shared" si="14"/>
        <v>2940</v>
      </c>
      <c r="E71" s="284"/>
      <c r="F71" s="284"/>
      <c r="G71" s="339">
        <v>1530</v>
      </c>
      <c r="H71" s="339">
        <v>1410</v>
      </c>
      <c r="I71" s="284"/>
      <c r="J71" s="581">
        <f t="shared" si="15"/>
        <v>2878.634</v>
      </c>
      <c r="K71" s="284"/>
      <c r="L71" s="284"/>
      <c r="M71" s="339">
        <v>52.569000000000003</v>
      </c>
      <c r="N71" s="350">
        <f>2075.677+370.779</f>
        <v>2446.4560000000001</v>
      </c>
      <c r="O71" s="350">
        <v>379.60899999999998</v>
      </c>
    </row>
    <row r="72" spans="1:16" ht="13.5" thickTop="1" thickBot="1">
      <c r="A72" s="862"/>
      <c r="B72" s="182" t="s">
        <v>178</v>
      </c>
      <c r="C72" s="182" t="s">
        <v>88</v>
      </c>
      <c r="D72" s="324">
        <f t="shared" si="14"/>
        <v>0</v>
      </c>
      <c r="E72" s="324"/>
      <c r="F72" s="324"/>
      <c r="G72" s="324"/>
      <c r="H72" s="324"/>
      <c r="I72" s="324"/>
      <c r="J72" s="196">
        <f t="shared" si="15"/>
        <v>0</v>
      </c>
      <c r="K72" s="196"/>
      <c r="L72" s="196"/>
      <c r="M72" s="265"/>
      <c r="N72" s="265"/>
      <c r="O72" s="196"/>
    </row>
    <row r="73" spans="1:16" ht="13.5" thickTop="1" thickBot="1">
      <c r="A73" s="862"/>
      <c r="B73" s="207"/>
      <c r="C73" s="208" t="s">
        <v>89</v>
      </c>
      <c r="D73" s="326">
        <f t="shared" si="14"/>
        <v>1090</v>
      </c>
      <c r="E73" s="327"/>
      <c r="F73" s="327"/>
      <c r="G73" s="331">
        <f>G71-G78</f>
        <v>356</v>
      </c>
      <c r="H73" s="331">
        <f>H71-H78</f>
        <v>734</v>
      </c>
      <c r="I73" s="327"/>
      <c r="J73" s="734">
        <f>SUM(K73:O73)</f>
        <v>-2072.0059999999999</v>
      </c>
      <c r="K73" s="210"/>
      <c r="L73" s="210"/>
      <c r="M73" s="742">
        <f>M71-M78</f>
        <v>52.569000000000003</v>
      </c>
      <c r="N73" s="743">
        <f>-N78</f>
        <v>-2124.5749999999998</v>
      </c>
      <c r="O73" s="210"/>
    </row>
    <row r="74" spans="1:16" ht="13.5" thickTop="1" thickBot="1">
      <c r="A74" s="862"/>
      <c r="B74" s="207"/>
      <c r="C74" s="208" t="s">
        <v>90</v>
      </c>
      <c r="D74" s="326">
        <f t="shared" si="14"/>
        <v>0</v>
      </c>
      <c r="E74" s="327"/>
      <c r="F74" s="327"/>
      <c r="G74" s="327"/>
      <c r="H74" s="326"/>
      <c r="I74" s="326"/>
      <c r="J74" s="209">
        <f t="shared" si="15"/>
        <v>0</v>
      </c>
      <c r="K74" s="210"/>
      <c r="L74" s="210"/>
      <c r="M74" s="210"/>
      <c r="N74" s="320"/>
      <c r="O74" s="209"/>
    </row>
    <row r="75" spans="1:16" ht="13.5" thickTop="1" thickBot="1">
      <c r="A75" s="862"/>
      <c r="B75" s="207"/>
      <c r="C75" s="208" t="s">
        <v>91</v>
      </c>
      <c r="D75" s="326">
        <f t="shared" si="14"/>
        <v>0</v>
      </c>
      <c r="E75" s="327"/>
      <c r="F75" s="327"/>
      <c r="G75" s="327"/>
      <c r="H75" s="327"/>
      <c r="I75" s="326"/>
      <c r="J75" s="209">
        <f t="shared" si="15"/>
        <v>0</v>
      </c>
      <c r="K75" s="210"/>
      <c r="L75" s="210"/>
      <c r="M75" s="210"/>
      <c r="N75" s="210"/>
      <c r="O75" s="209"/>
    </row>
    <row r="76" spans="1:16" ht="13.5" thickTop="1" thickBot="1">
      <c r="A76" s="862"/>
      <c r="B76" s="182" t="s">
        <v>179</v>
      </c>
      <c r="C76" s="182" t="s">
        <v>93</v>
      </c>
      <c r="D76" s="324">
        <f t="shared" si="14"/>
        <v>0</v>
      </c>
      <c r="E76" s="324"/>
      <c r="F76" s="324"/>
      <c r="G76" s="328"/>
      <c r="H76" s="328"/>
      <c r="I76" s="324"/>
      <c r="J76" s="196">
        <f t="shared" si="15"/>
        <v>0</v>
      </c>
      <c r="K76" s="196"/>
      <c r="L76" s="196"/>
      <c r="M76" s="211"/>
      <c r="N76" s="211"/>
      <c r="O76" s="196"/>
    </row>
    <row r="77" spans="1:16" ht="13.5" thickTop="1" thickBot="1">
      <c r="A77" s="862"/>
      <c r="B77" s="182" t="s">
        <v>180</v>
      </c>
      <c r="C77" s="182" t="s">
        <v>95</v>
      </c>
      <c r="D77" s="330">
        <f t="shared" si="14"/>
        <v>0</v>
      </c>
      <c r="E77" s="380"/>
      <c r="F77" s="326"/>
      <c r="G77" s="331"/>
      <c r="H77" s="331"/>
      <c r="I77" s="324"/>
      <c r="J77" s="213">
        <f t="shared" si="15"/>
        <v>0</v>
      </c>
      <c r="K77" s="383"/>
      <c r="L77" s="209"/>
      <c r="M77" s="320"/>
      <c r="N77" s="320"/>
      <c r="O77" s="196"/>
    </row>
    <row r="78" spans="1:16" ht="13.5" thickTop="1" thickBot="1">
      <c r="A78" s="862"/>
      <c r="B78" s="207"/>
      <c r="C78" s="208" t="s">
        <v>89</v>
      </c>
      <c r="D78" s="326">
        <f t="shared" si="14"/>
        <v>1850</v>
      </c>
      <c r="E78" s="327"/>
      <c r="F78" s="327"/>
      <c r="G78" s="326">
        <f>1195-171+150</f>
        <v>1174</v>
      </c>
      <c r="H78" s="326">
        <v>676</v>
      </c>
      <c r="I78" s="327"/>
      <c r="J78" s="209">
        <f t="shared" si="15"/>
        <v>2124.5749999999998</v>
      </c>
      <c r="K78" s="210"/>
      <c r="L78" s="210"/>
      <c r="M78" s="209"/>
      <c r="N78" s="209">
        <v>2124.5749999999998</v>
      </c>
      <c r="O78" s="210"/>
      <c r="P78" s="321"/>
    </row>
    <row r="79" spans="1:16" ht="13.5" thickTop="1" thickBot="1">
      <c r="A79" s="862"/>
      <c r="B79" s="207"/>
      <c r="C79" s="208" t="s">
        <v>90</v>
      </c>
      <c r="D79" s="326">
        <f t="shared" si="14"/>
        <v>0</v>
      </c>
      <c r="E79" s="327"/>
      <c r="F79" s="327"/>
      <c r="G79" s="327"/>
      <c r="H79" s="326"/>
      <c r="I79" s="326"/>
      <c r="J79" s="209">
        <f t="shared" si="15"/>
        <v>0</v>
      </c>
      <c r="K79" s="210"/>
      <c r="L79" s="210"/>
      <c r="M79" s="210"/>
      <c r="N79" s="209"/>
      <c r="O79" s="209"/>
    </row>
    <row r="80" spans="1:16" ht="13.5" thickTop="1" thickBot="1">
      <c r="A80" s="862"/>
      <c r="B80" s="207"/>
      <c r="C80" s="208" t="s">
        <v>91</v>
      </c>
      <c r="D80" s="326">
        <f t="shared" si="14"/>
        <v>0</v>
      </c>
      <c r="E80" s="327"/>
      <c r="F80" s="327"/>
      <c r="G80" s="327"/>
      <c r="H80" s="327"/>
      <c r="I80" s="326"/>
      <c r="J80" s="209">
        <f t="shared" si="15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324">
        <f t="shared" si="14"/>
        <v>0</v>
      </c>
      <c r="E81" s="324"/>
      <c r="F81" s="324"/>
      <c r="G81" s="324"/>
      <c r="H81" s="323"/>
      <c r="I81" s="324"/>
      <c r="J81" s="196">
        <f t="shared" si="15"/>
        <v>0</v>
      </c>
      <c r="K81" s="196"/>
      <c r="L81" s="196"/>
      <c r="M81" s="196"/>
      <c r="N81" s="185"/>
      <c r="O81" s="196"/>
    </row>
    <row r="82" spans="1:15" ht="13.5" thickTop="1" thickBot="1">
      <c r="A82" s="862"/>
      <c r="B82" s="182" t="s">
        <v>182</v>
      </c>
      <c r="C82" s="182" t="s">
        <v>99</v>
      </c>
      <c r="D82" s="324">
        <f t="shared" si="14"/>
        <v>0</v>
      </c>
      <c r="E82" s="324"/>
      <c r="F82" s="324"/>
      <c r="G82" s="324"/>
      <c r="H82" s="323"/>
      <c r="I82" s="324"/>
      <c r="J82" s="196">
        <f t="shared" si="15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325">
        <f t="shared" si="14"/>
        <v>66260</v>
      </c>
      <c r="E83" s="284"/>
      <c r="F83" s="339">
        <v>66260</v>
      </c>
      <c r="G83" s="284"/>
      <c r="H83" s="284"/>
      <c r="I83" s="284"/>
      <c r="J83" s="206">
        <f t="shared" si="15"/>
        <v>60955.523000000001</v>
      </c>
      <c r="K83" s="284"/>
      <c r="L83" s="339">
        <v>60955.523000000001</v>
      </c>
      <c r="M83" s="214"/>
      <c r="N83" s="214"/>
      <c r="O83" s="214"/>
    </row>
    <row r="84" spans="1:15" ht="13.5" thickTop="1" thickBot="1">
      <c r="A84" s="862"/>
      <c r="B84" s="182" t="s">
        <v>184</v>
      </c>
      <c r="C84" s="182" t="s">
        <v>88</v>
      </c>
      <c r="D84" s="324">
        <f t="shared" si="14"/>
        <v>0</v>
      </c>
      <c r="E84" s="324"/>
      <c r="F84" s="324"/>
      <c r="G84" s="324"/>
      <c r="H84" s="324"/>
      <c r="I84" s="324"/>
      <c r="J84" s="196">
        <f t="shared" si="15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326">
        <f t="shared" si="14"/>
        <v>0</v>
      </c>
      <c r="E85" s="327"/>
      <c r="F85" s="327"/>
      <c r="G85" s="326"/>
      <c r="H85" s="326"/>
      <c r="I85" s="327"/>
      <c r="J85" s="209">
        <f t="shared" si="15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326">
        <f t="shared" si="14"/>
        <v>0</v>
      </c>
      <c r="E86" s="327"/>
      <c r="F86" s="327"/>
      <c r="G86" s="327"/>
      <c r="H86" s="326"/>
      <c r="I86" s="326"/>
      <c r="J86" s="209">
        <f t="shared" si="15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326">
        <f t="shared" si="14"/>
        <v>0</v>
      </c>
      <c r="E87" s="327"/>
      <c r="F87" s="327"/>
      <c r="G87" s="327"/>
      <c r="H87" s="327"/>
      <c r="I87" s="326"/>
      <c r="J87" s="209">
        <f t="shared" si="15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324">
        <f t="shared" si="14"/>
        <v>0</v>
      </c>
      <c r="E88" s="324"/>
      <c r="F88" s="324"/>
      <c r="G88" s="328"/>
      <c r="H88" s="328"/>
      <c r="I88" s="324"/>
      <c r="J88" s="196">
        <f t="shared" si="15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330">
        <f t="shared" si="14"/>
        <v>27363</v>
      </c>
      <c r="E89" s="380"/>
      <c r="F89" s="331">
        <v>27363</v>
      </c>
      <c r="G89" s="326"/>
      <c r="H89" s="326"/>
      <c r="I89" s="324"/>
      <c r="J89" s="213">
        <f t="shared" si="15"/>
        <v>23610.400000000001</v>
      </c>
      <c r="K89" s="383"/>
      <c r="L89" s="320">
        <v>23610.400000000001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326">
        <f t="shared" si="14"/>
        <v>0</v>
      </c>
      <c r="E90" s="327"/>
      <c r="F90" s="327"/>
      <c r="G90" s="326"/>
      <c r="H90" s="326"/>
      <c r="I90" s="327"/>
      <c r="J90" s="209">
        <f t="shared" si="15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326">
        <f t="shared" si="14"/>
        <v>0</v>
      </c>
      <c r="E91" s="327"/>
      <c r="F91" s="327"/>
      <c r="G91" s="327"/>
      <c r="H91" s="326"/>
      <c r="I91" s="326"/>
      <c r="J91" s="209">
        <f t="shared" si="15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326">
        <f t="shared" si="14"/>
        <v>0</v>
      </c>
      <c r="E92" s="327"/>
      <c r="F92" s="327"/>
      <c r="G92" s="327"/>
      <c r="H92" s="327"/>
      <c r="I92" s="326"/>
      <c r="J92" s="209">
        <f t="shared" si="15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324">
        <f t="shared" si="14"/>
        <v>0</v>
      </c>
      <c r="E93" s="324"/>
      <c r="F93" s="324"/>
      <c r="G93" s="324"/>
      <c r="H93" s="323"/>
      <c r="I93" s="324"/>
      <c r="J93" s="196">
        <f t="shared" si="15"/>
        <v>0</v>
      </c>
      <c r="K93" s="196"/>
      <c r="L93" s="196"/>
      <c r="M93" s="196"/>
      <c r="N93" s="185"/>
      <c r="O93" s="196"/>
    </row>
    <row r="94" spans="1:15" ht="13.5" thickTop="1" thickBot="1">
      <c r="A94" s="862"/>
      <c r="B94" s="182" t="s">
        <v>188</v>
      </c>
      <c r="C94" s="182" t="s">
        <v>99</v>
      </c>
      <c r="D94" s="324">
        <f t="shared" si="14"/>
        <v>0</v>
      </c>
      <c r="E94" s="324"/>
      <c r="F94" s="324"/>
      <c r="G94" s="324"/>
      <c r="H94" s="323"/>
      <c r="I94" s="324"/>
      <c r="J94" s="196">
        <f t="shared" si="15"/>
        <v>0</v>
      </c>
      <c r="K94" s="196"/>
      <c r="L94" s="196"/>
      <c r="M94" s="196"/>
      <c r="N94" s="196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>
        <f t="shared" ref="D95:D106" si="16">SUM(E95:I95)</f>
        <v>4740</v>
      </c>
      <c r="E95" s="284"/>
      <c r="F95" s="325"/>
      <c r="G95" s="284"/>
      <c r="H95" s="339">
        <v>4740</v>
      </c>
      <c r="I95" s="284"/>
      <c r="J95" s="581">
        <f t="shared" ref="J95:J106" si="17">SUM(K95:O95)</f>
        <v>2981.904</v>
      </c>
      <c r="K95" s="284"/>
      <c r="L95" s="325"/>
      <c r="M95" s="214"/>
      <c r="N95" s="339">
        <v>2981.904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6"/>
        <v>0</v>
      </c>
      <c r="E96" s="324"/>
      <c r="F96" s="324"/>
      <c r="G96" s="324"/>
      <c r="H96" s="324"/>
      <c r="I96" s="324"/>
      <c r="J96" s="196">
        <f t="shared" si="17"/>
        <v>0</v>
      </c>
      <c r="K96" s="196"/>
      <c r="L96" s="196"/>
      <c r="M96" s="196"/>
      <c r="N96" s="196"/>
      <c r="O96" s="196"/>
    </row>
    <row r="97" spans="1:15" ht="13.5" thickTop="1" thickBot="1">
      <c r="A97" s="862"/>
      <c r="B97" s="207"/>
      <c r="C97" s="208" t="s">
        <v>89</v>
      </c>
      <c r="D97" s="326">
        <f t="shared" si="16"/>
        <v>1100</v>
      </c>
      <c r="E97" s="327"/>
      <c r="F97" s="327"/>
      <c r="G97" s="326"/>
      <c r="H97" s="339">
        <v>1100</v>
      </c>
      <c r="I97" s="327"/>
      <c r="J97" s="209">
        <f t="shared" si="17"/>
        <v>840.69799999999998</v>
      </c>
      <c r="K97" s="210"/>
      <c r="L97" s="210"/>
      <c r="M97" s="209"/>
      <c r="N97" s="699">
        <v>840.69799999999998</v>
      </c>
      <c r="O97" s="210"/>
    </row>
    <row r="98" spans="1:15" ht="13.5" thickTop="1" thickBot="1">
      <c r="A98" s="862"/>
      <c r="B98" s="207"/>
      <c r="C98" s="208" t="s">
        <v>90</v>
      </c>
      <c r="D98" s="326">
        <f t="shared" si="16"/>
        <v>2390</v>
      </c>
      <c r="E98" s="327"/>
      <c r="F98" s="327"/>
      <c r="G98" s="327"/>
      <c r="H98" s="339">
        <v>2390</v>
      </c>
      <c r="I98" s="326"/>
      <c r="J98" s="209">
        <f t="shared" si="17"/>
        <v>825.30700000000002</v>
      </c>
      <c r="K98" s="210"/>
      <c r="L98" s="210"/>
      <c r="M98" s="210"/>
      <c r="N98" s="699">
        <v>825.30700000000002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6"/>
        <v>0</v>
      </c>
      <c r="E99" s="327"/>
      <c r="F99" s="327"/>
      <c r="G99" s="327"/>
      <c r="H99" s="327"/>
      <c r="I99" s="326"/>
      <c r="J99" s="209">
        <f t="shared" si="17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6"/>
        <v>0</v>
      </c>
      <c r="E100" s="324"/>
      <c r="F100" s="324"/>
      <c r="G100" s="328"/>
      <c r="H100" s="328"/>
      <c r="I100" s="324"/>
      <c r="J100" s="196">
        <f t="shared" si="17"/>
        <v>0</v>
      </c>
      <c r="K100" s="196"/>
      <c r="L100" s="196"/>
      <c r="M100" s="211"/>
      <c r="N100" s="211"/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6"/>
        <v>0</v>
      </c>
      <c r="E101" s="380"/>
      <c r="F101" s="331"/>
      <c r="G101" s="326"/>
      <c r="H101" s="326"/>
      <c r="I101" s="324"/>
      <c r="J101" s="213">
        <f t="shared" si="17"/>
        <v>0</v>
      </c>
      <c r="K101" s="383"/>
      <c r="L101" s="320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6"/>
        <v>0</v>
      </c>
      <c r="E102" s="327"/>
      <c r="F102" s="327"/>
      <c r="G102" s="326"/>
      <c r="H102" s="326"/>
      <c r="I102" s="327"/>
      <c r="J102" s="209">
        <f t="shared" si="17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6"/>
        <v>0</v>
      </c>
      <c r="E103" s="327"/>
      <c r="F103" s="327"/>
      <c r="G103" s="327"/>
      <c r="H103" s="326"/>
      <c r="I103" s="326"/>
      <c r="J103" s="209">
        <f t="shared" si="17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6"/>
        <v>0</v>
      </c>
      <c r="E104" s="327"/>
      <c r="F104" s="327"/>
      <c r="G104" s="327"/>
      <c r="H104" s="327"/>
      <c r="I104" s="326"/>
      <c r="J104" s="209">
        <f t="shared" si="17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6"/>
        <v>0</v>
      </c>
      <c r="E105" s="324"/>
      <c r="F105" s="324"/>
      <c r="G105" s="324"/>
      <c r="H105" s="324"/>
      <c r="I105" s="324"/>
      <c r="J105" s="196">
        <f t="shared" si="17"/>
        <v>0</v>
      </c>
      <c r="K105" s="196"/>
      <c r="L105" s="196"/>
      <c r="M105" s="196"/>
      <c r="N105" s="185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6"/>
        <v>0</v>
      </c>
      <c r="E106" s="324"/>
      <c r="F106" s="324"/>
      <c r="G106" s="324"/>
      <c r="H106" s="323"/>
      <c r="I106" s="324"/>
      <c r="J106" s="196">
        <f t="shared" si="17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>
        <f t="shared" ref="D107:D118" si="18">SUM(E107:I107)</f>
        <v>0</v>
      </c>
      <c r="E107" s="284"/>
      <c r="F107" s="325"/>
      <c r="G107" s="284"/>
      <c r="H107" s="339"/>
      <c r="I107" s="284"/>
      <c r="J107" s="206">
        <f t="shared" ref="J107:J118" si="19">SUM(K107:O107)</f>
        <v>526.93399999999997</v>
      </c>
      <c r="K107" s="284"/>
      <c r="L107" s="325"/>
      <c r="M107" s="214"/>
      <c r="N107" s="339">
        <v>526.93399999999997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8"/>
        <v>0</v>
      </c>
      <c r="E108" s="324"/>
      <c r="F108" s="324"/>
      <c r="G108" s="324"/>
      <c r="H108" s="324"/>
      <c r="I108" s="324"/>
      <c r="J108" s="196">
        <f t="shared" si="19"/>
        <v>0</v>
      </c>
      <c r="K108" s="196"/>
      <c r="L108" s="196"/>
      <c r="M108" s="196"/>
      <c r="N108" s="196"/>
      <c r="O108" s="196"/>
    </row>
    <row r="109" spans="1:15" ht="13.5" thickTop="1" thickBot="1">
      <c r="A109" s="862"/>
      <c r="B109" s="207"/>
      <c r="C109" s="208" t="s">
        <v>89</v>
      </c>
      <c r="D109" s="326">
        <f t="shared" si="18"/>
        <v>0</v>
      </c>
      <c r="E109" s="327"/>
      <c r="F109" s="327"/>
      <c r="G109" s="326"/>
      <c r="H109" s="339"/>
      <c r="I109" s="327"/>
      <c r="J109" s="209">
        <f t="shared" si="19"/>
        <v>526.93399999999997</v>
      </c>
      <c r="K109" s="210"/>
      <c r="L109" s="210"/>
      <c r="M109" s="209"/>
      <c r="N109" s="339">
        <v>526.93399999999997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8"/>
        <v>0</v>
      </c>
      <c r="E110" s="327"/>
      <c r="F110" s="327"/>
      <c r="G110" s="327"/>
      <c r="H110" s="339"/>
      <c r="I110" s="326"/>
      <c r="J110" s="209">
        <f t="shared" si="19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8"/>
        <v>0</v>
      </c>
      <c r="E111" s="327"/>
      <c r="F111" s="327"/>
      <c r="G111" s="327"/>
      <c r="H111" s="327"/>
      <c r="I111" s="326"/>
      <c r="J111" s="209">
        <f t="shared" si="19"/>
        <v>0</v>
      </c>
      <c r="K111" s="210"/>
      <c r="L111" s="210"/>
      <c r="M111" s="210"/>
      <c r="N111" s="210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8"/>
        <v>0</v>
      </c>
      <c r="E112" s="324"/>
      <c r="F112" s="324"/>
      <c r="G112" s="328"/>
      <c r="H112" s="328"/>
      <c r="I112" s="324"/>
      <c r="J112" s="196">
        <f t="shared" si="19"/>
        <v>0</v>
      </c>
      <c r="K112" s="196"/>
      <c r="L112" s="196"/>
      <c r="M112" s="211"/>
      <c r="N112" s="211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8"/>
        <v>0</v>
      </c>
      <c r="E113" s="380"/>
      <c r="F113" s="331"/>
      <c r="G113" s="326"/>
      <c r="H113" s="326"/>
      <c r="I113" s="324"/>
      <c r="J113" s="213">
        <f t="shared" si="19"/>
        <v>0</v>
      </c>
      <c r="K113" s="383"/>
      <c r="L113" s="320"/>
      <c r="M113" s="209"/>
      <c r="N113" s="209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8"/>
        <v>0</v>
      </c>
      <c r="E114" s="327"/>
      <c r="F114" s="327"/>
      <c r="G114" s="326"/>
      <c r="H114" s="326"/>
      <c r="I114" s="327"/>
      <c r="J114" s="209">
        <f t="shared" si="19"/>
        <v>0</v>
      </c>
      <c r="K114" s="210"/>
      <c r="L114" s="210"/>
      <c r="M114" s="209"/>
      <c r="N114" s="209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8"/>
        <v>0</v>
      </c>
      <c r="E115" s="327"/>
      <c r="F115" s="327"/>
      <c r="G115" s="327"/>
      <c r="H115" s="326"/>
      <c r="I115" s="326"/>
      <c r="J115" s="209">
        <f t="shared" si="19"/>
        <v>0</v>
      </c>
      <c r="K115" s="210"/>
      <c r="L115" s="210"/>
      <c r="M115" s="210"/>
      <c r="N115" s="209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8"/>
        <v>0</v>
      </c>
      <c r="E116" s="327"/>
      <c r="F116" s="327"/>
      <c r="G116" s="327"/>
      <c r="H116" s="327"/>
      <c r="I116" s="326"/>
      <c r="J116" s="209">
        <f t="shared" si="19"/>
        <v>0</v>
      </c>
      <c r="K116" s="210"/>
      <c r="L116" s="210"/>
      <c r="M116" s="210"/>
      <c r="N116" s="210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8"/>
        <v>0</v>
      </c>
      <c r="E117" s="324"/>
      <c r="F117" s="324"/>
      <c r="G117" s="324"/>
      <c r="H117" s="324"/>
      <c r="I117" s="324"/>
      <c r="J117" s="196">
        <f t="shared" si="19"/>
        <v>0</v>
      </c>
      <c r="K117" s="196"/>
      <c r="L117" s="196"/>
      <c r="M117" s="196"/>
      <c r="N117" s="185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8"/>
        <v>0</v>
      </c>
      <c r="E118" s="324"/>
      <c r="F118" s="324"/>
      <c r="G118" s="324"/>
      <c r="H118" s="323"/>
      <c r="I118" s="324"/>
      <c r="J118" s="196">
        <f t="shared" si="19"/>
        <v>0</v>
      </c>
      <c r="K118" s="196"/>
      <c r="L118" s="196"/>
      <c r="M118" s="196"/>
      <c r="N118" s="196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>
        <f t="shared" ref="D119:D130" si="20">SUM(E119:I119)</f>
        <v>0</v>
      </c>
      <c r="E119" s="284"/>
      <c r="F119" s="325"/>
      <c r="G119" s="284"/>
      <c r="H119" s="339"/>
      <c r="I119" s="284"/>
      <c r="J119" s="206">
        <f t="shared" ref="J119:J130" si="21">SUM(K119:O119)</f>
        <v>325.70800000000003</v>
      </c>
      <c r="K119" s="284"/>
      <c r="L119" s="325"/>
      <c r="M119" s="214"/>
      <c r="N119" s="339">
        <v>325.70800000000003</v>
      </c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20"/>
        <v>0</v>
      </c>
      <c r="E120" s="324"/>
      <c r="F120" s="324"/>
      <c r="G120" s="324"/>
      <c r="H120" s="324"/>
      <c r="I120" s="324"/>
      <c r="J120" s="196">
        <f t="shared" si="21"/>
        <v>0</v>
      </c>
      <c r="K120" s="196"/>
      <c r="L120" s="196"/>
      <c r="M120" s="196"/>
      <c r="N120" s="196"/>
      <c r="O120" s="196"/>
    </row>
    <row r="121" spans="1:15" ht="13.5" thickTop="1" thickBot="1">
      <c r="A121" s="862"/>
      <c r="B121" s="207"/>
      <c r="C121" s="208" t="s">
        <v>89</v>
      </c>
      <c r="D121" s="326">
        <f t="shared" si="20"/>
        <v>0</v>
      </c>
      <c r="E121" s="327"/>
      <c r="F121" s="327"/>
      <c r="G121" s="326"/>
      <c r="H121" s="339"/>
      <c r="I121" s="327"/>
      <c r="J121" s="209">
        <f t="shared" si="21"/>
        <v>325.70800000000003</v>
      </c>
      <c r="K121" s="210"/>
      <c r="L121" s="210"/>
      <c r="M121" s="209"/>
      <c r="N121" s="339">
        <v>325.70800000000003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20"/>
        <v>0</v>
      </c>
      <c r="E122" s="327"/>
      <c r="F122" s="327"/>
      <c r="G122" s="327"/>
      <c r="H122" s="339"/>
      <c r="I122" s="326"/>
      <c r="J122" s="209">
        <f t="shared" si="21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20"/>
        <v>0</v>
      </c>
      <c r="E123" s="327"/>
      <c r="F123" s="327"/>
      <c r="G123" s="327"/>
      <c r="H123" s="327"/>
      <c r="I123" s="326"/>
      <c r="J123" s="209">
        <f t="shared" si="21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20"/>
        <v>0</v>
      </c>
      <c r="E124" s="324"/>
      <c r="F124" s="324"/>
      <c r="G124" s="328"/>
      <c r="H124" s="328"/>
      <c r="I124" s="324"/>
      <c r="J124" s="196">
        <f t="shared" si="21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20"/>
        <v>0</v>
      </c>
      <c r="E125" s="380"/>
      <c r="F125" s="331"/>
      <c r="G125" s="326"/>
      <c r="H125" s="326"/>
      <c r="I125" s="324"/>
      <c r="J125" s="213">
        <f t="shared" si="21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20"/>
        <v>0</v>
      </c>
      <c r="E126" s="327"/>
      <c r="F126" s="327"/>
      <c r="G126" s="326"/>
      <c r="H126" s="326"/>
      <c r="I126" s="327"/>
      <c r="J126" s="209">
        <f t="shared" si="21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20"/>
        <v>0</v>
      </c>
      <c r="E127" s="327"/>
      <c r="F127" s="327"/>
      <c r="G127" s="327"/>
      <c r="H127" s="326"/>
      <c r="I127" s="326"/>
      <c r="J127" s="209">
        <f t="shared" si="21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20"/>
        <v>0</v>
      </c>
      <c r="E128" s="327"/>
      <c r="F128" s="327"/>
      <c r="G128" s="327"/>
      <c r="H128" s="327"/>
      <c r="I128" s="326"/>
      <c r="J128" s="209">
        <f t="shared" si="21"/>
        <v>0</v>
      </c>
      <c r="K128" s="210"/>
      <c r="L128" s="210"/>
      <c r="M128" s="210"/>
      <c r="N128" s="210"/>
      <c r="O128" s="209"/>
    </row>
    <row r="129" spans="1:16" ht="13.5" thickTop="1" thickBot="1">
      <c r="A129" s="862"/>
      <c r="B129" s="182" t="s">
        <v>246</v>
      </c>
      <c r="C129" s="182" t="s">
        <v>97</v>
      </c>
      <c r="D129" s="324">
        <f t="shared" si="20"/>
        <v>0</v>
      </c>
      <c r="E129" s="324"/>
      <c r="F129" s="324"/>
      <c r="G129" s="324"/>
      <c r="H129" s="324"/>
      <c r="I129" s="324"/>
      <c r="J129" s="196">
        <f t="shared" si="21"/>
        <v>0</v>
      </c>
      <c r="K129" s="196"/>
      <c r="L129" s="196"/>
      <c r="M129" s="196"/>
      <c r="N129" s="185"/>
      <c r="O129" s="196"/>
    </row>
    <row r="130" spans="1:16" ht="13.5" thickTop="1" thickBot="1">
      <c r="A130" s="862"/>
      <c r="B130" s="182" t="s">
        <v>247</v>
      </c>
      <c r="C130" s="182" t="s">
        <v>99</v>
      </c>
      <c r="D130" s="324">
        <f t="shared" si="20"/>
        <v>0</v>
      </c>
      <c r="E130" s="324"/>
      <c r="F130" s="324"/>
      <c r="G130" s="324"/>
      <c r="H130" s="323"/>
      <c r="I130" s="324"/>
      <c r="J130" s="196">
        <f t="shared" si="21"/>
        <v>0</v>
      </c>
      <c r="K130" s="196"/>
      <c r="L130" s="196"/>
      <c r="M130" s="196"/>
      <c r="N130" s="196"/>
      <c r="O130" s="196"/>
    </row>
    <row r="131" spans="1:16" ht="13.5" thickTop="1" thickBot="1">
      <c r="A131" s="862"/>
      <c r="B131" s="204" t="s">
        <v>250</v>
      </c>
      <c r="C131" s="595" t="s">
        <v>249</v>
      </c>
      <c r="D131" s="325">
        <f t="shared" ref="D131:D142" si="22">SUM(E131:I131)</f>
        <v>0</v>
      </c>
      <c r="E131" s="284"/>
      <c r="F131" s="325"/>
      <c r="G131" s="284"/>
      <c r="H131" s="339"/>
      <c r="I131" s="284"/>
      <c r="J131" s="581">
        <f t="shared" ref="J131:J142" si="23">SUM(K131:O131)</f>
        <v>73.489999999999995</v>
      </c>
      <c r="K131" s="284"/>
      <c r="L131" s="325"/>
      <c r="M131" s="214"/>
      <c r="N131" s="339">
        <v>52.290999999999997</v>
      </c>
      <c r="O131" s="339">
        <v>21.199000000000002</v>
      </c>
    </row>
    <row r="132" spans="1:16" ht="13.5" thickTop="1" thickBot="1">
      <c r="A132" s="862"/>
      <c r="B132" s="182" t="s">
        <v>251</v>
      </c>
      <c r="C132" s="182" t="s">
        <v>88</v>
      </c>
      <c r="D132" s="324">
        <f t="shared" si="22"/>
        <v>0</v>
      </c>
      <c r="E132" s="324"/>
      <c r="F132" s="324"/>
      <c r="G132" s="324"/>
      <c r="H132" s="324"/>
      <c r="I132" s="324"/>
      <c r="J132" s="196">
        <f t="shared" si="23"/>
        <v>0</v>
      </c>
      <c r="K132" s="196"/>
      <c r="L132" s="196"/>
      <c r="M132" s="196"/>
      <c r="N132" s="196"/>
      <c r="O132" s="196"/>
    </row>
    <row r="133" spans="1:16" ht="13.5" thickTop="1" thickBot="1">
      <c r="A133" s="862"/>
      <c r="B133" s="207"/>
      <c r="C133" s="208" t="s">
        <v>89</v>
      </c>
      <c r="D133" s="326">
        <f t="shared" si="22"/>
        <v>0</v>
      </c>
      <c r="E133" s="327"/>
      <c r="F133" s="327"/>
      <c r="G133" s="326"/>
      <c r="H133" s="339"/>
      <c r="I133" s="327"/>
      <c r="J133" s="209">
        <f t="shared" si="23"/>
        <v>0</v>
      </c>
      <c r="K133" s="210"/>
      <c r="L133" s="210"/>
      <c r="M133" s="209"/>
      <c r="N133" s="339"/>
      <c r="O133" s="210"/>
    </row>
    <row r="134" spans="1:16" ht="13.5" thickTop="1" thickBot="1">
      <c r="A134" s="862"/>
      <c r="B134" s="207"/>
      <c r="C134" s="208" t="s">
        <v>90</v>
      </c>
      <c r="D134" s="326">
        <f t="shared" si="22"/>
        <v>0</v>
      </c>
      <c r="E134" s="327"/>
      <c r="F134" s="327"/>
      <c r="G134" s="327"/>
      <c r="H134" s="339"/>
      <c r="I134" s="326"/>
      <c r="J134" s="209">
        <f t="shared" si="23"/>
        <v>0</v>
      </c>
      <c r="K134" s="210"/>
      <c r="L134" s="210"/>
      <c r="M134" s="210"/>
      <c r="N134" s="699"/>
      <c r="O134" s="209"/>
    </row>
    <row r="135" spans="1:16" ht="13.5" thickTop="1" thickBot="1">
      <c r="A135" s="862"/>
      <c r="B135" s="207"/>
      <c r="C135" s="208" t="s">
        <v>91</v>
      </c>
      <c r="D135" s="326">
        <f t="shared" si="22"/>
        <v>0</v>
      </c>
      <c r="E135" s="327"/>
      <c r="F135" s="327"/>
      <c r="G135" s="327"/>
      <c r="H135" s="327"/>
      <c r="I135" s="326"/>
      <c r="J135" s="209">
        <f t="shared" si="23"/>
        <v>0</v>
      </c>
      <c r="K135" s="210"/>
      <c r="L135" s="210"/>
      <c r="M135" s="210"/>
      <c r="N135" s="210"/>
      <c r="O135" s="209"/>
    </row>
    <row r="136" spans="1:16" ht="13.5" thickTop="1" thickBot="1">
      <c r="A136" s="862"/>
      <c r="B136" s="182" t="s">
        <v>252</v>
      </c>
      <c r="C136" s="182" t="s">
        <v>93</v>
      </c>
      <c r="D136" s="324">
        <f t="shared" si="22"/>
        <v>0</v>
      </c>
      <c r="E136" s="324"/>
      <c r="F136" s="324"/>
      <c r="G136" s="328"/>
      <c r="H136" s="328"/>
      <c r="I136" s="324"/>
      <c r="J136" s="196">
        <f t="shared" si="23"/>
        <v>0</v>
      </c>
      <c r="K136" s="196"/>
      <c r="L136" s="196"/>
      <c r="M136" s="211"/>
      <c r="N136" s="211"/>
      <c r="O136" s="196"/>
    </row>
    <row r="137" spans="1:16" ht="13.5" thickTop="1" thickBot="1">
      <c r="A137" s="862"/>
      <c r="B137" s="182" t="s">
        <v>253</v>
      </c>
      <c r="C137" s="182" t="s">
        <v>95</v>
      </c>
      <c r="D137" s="330">
        <f t="shared" si="22"/>
        <v>0</v>
      </c>
      <c r="E137" s="380"/>
      <c r="F137" s="331"/>
      <c r="G137" s="326"/>
      <c r="H137" s="326"/>
      <c r="I137" s="324"/>
      <c r="J137" s="213">
        <f t="shared" si="23"/>
        <v>0</v>
      </c>
      <c r="K137" s="383"/>
      <c r="L137" s="320"/>
      <c r="M137" s="209"/>
      <c r="N137" s="209"/>
      <c r="O137" s="196"/>
    </row>
    <row r="138" spans="1:16" ht="13.5" thickTop="1" thickBot="1">
      <c r="A138" s="862"/>
      <c r="B138" s="207"/>
      <c r="C138" s="208" t="s">
        <v>89</v>
      </c>
      <c r="D138" s="326">
        <f t="shared" si="22"/>
        <v>0</v>
      </c>
      <c r="E138" s="327"/>
      <c r="F138" s="327"/>
      <c r="G138" s="326"/>
      <c r="H138" s="326"/>
      <c r="I138" s="327"/>
      <c r="J138" s="209">
        <f t="shared" si="23"/>
        <v>0</v>
      </c>
      <c r="K138" s="210"/>
      <c r="L138" s="210"/>
      <c r="M138" s="209"/>
      <c r="N138" s="209"/>
      <c r="O138" s="210"/>
    </row>
    <row r="139" spans="1:16" ht="13.5" thickTop="1" thickBot="1">
      <c r="A139" s="862"/>
      <c r="B139" s="207"/>
      <c r="C139" s="208" t="s">
        <v>90</v>
      </c>
      <c r="D139" s="326">
        <f t="shared" si="22"/>
        <v>0</v>
      </c>
      <c r="E139" s="327"/>
      <c r="F139" s="327"/>
      <c r="G139" s="327"/>
      <c r="H139" s="326"/>
      <c r="I139" s="326"/>
      <c r="J139" s="209">
        <f t="shared" si="23"/>
        <v>0</v>
      </c>
      <c r="K139" s="210"/>
      <c r="L139" s="210"/>
      <c r="M139" s="210"/>
      <c r="N139" s="209"/>
      <c r="O139" s="209"/>
    </row>
    <row r="140" spans="1:16" ht="13.5" thickTop="1" thickBot="1">
      <c r="A140" s="862"/>
      <c r="B140" s="207"/>
      <c r="C140" s="208" t="s">
        <v>91</v>
      </c>
      <c r="D140" s="326">
        <f t="shared" si="22"/>
        <v>0</v>
      </c>
      <c r="E140" s="327"/>
      <c r="F140" s="327"/>
      <c r="G140" s="327"/>
      <c r="H140" s="327"/>
      <c r="I140" s="326"/>
      <c r="J140" s="209">
        <f t="shared" si="23"/>
        <v>0</v>
      </c>
      <c r="K140" s="210"/>
      <c r="L140" s="210"/>
      <c r="M140" s="210"/>
      <c r="N140" s="210"/>
      <c r="O140" s="209"/>
    </row>
    <row r="141" spans="1:16" ht="13.5" thickTop="1" thickBot="1">
      <c r="A141" s="862"/>
      <c r="B141" s="182" t="s">
        <v>254</v>
      </c>
      <c r="C141" s="182" t="s">
        <v>97</v>
      </c>
      <c r="D141" s="324">
        <f t="shared" si="22"/>
        <v>0</v>
      </c>
      <c r="E141" s="324"/>
      <c r="F141" s="324"/>
      <c r="G141" s="324"/>
      <c r="H141" s="324"/>
      <c r="I141" s="324"/>
      <c r="J141" s="196">
        <f t="shared" si="23"/>
        <v>0</v>
      </c>
      <c r="K141" s="196"/>
      <c r="L141" s="196"/>
      <c r="M141" s="196"/>
      <c r="N141" s="185"/>
      <c r="O141" s="196"/>
    </row>
    <row r="142" spans="1:16" ht="13.5" thickTop="1" thickBot="1">
      <c r="A142" s="862"/>
      <c r="B142" s="182" t="s">
        <v>255</v>
      </c>
      <c r="C142" s="182" t="s">
        <v>99</v>
      </c>
      <c r="D142" s="324">
        <f t="shared" si="22"/>
        <v>0</v>
      </c>
      <c r="E142" s="324"/>
      <c r="F142" s="324"/>
      <c r="G142" s="324"/>
      <c r="H142" s="323"/>
      <c r="I142" s="324"/>
      <c r="J142" s="196">
        <f t="shared" si="23"/>
        <v>0</v>
      </c>
      <c r="K142" s="196"/>
      <c r="L142" s="196"/>
      <c r="M142" s="196"/>
      <c r="N142" s="196"/>
      <c r="O142" s="196"/>
    </row>
    <row r="143" spans="1:16" ht="12.75" customHeight="1" thickTop="1" thickBot="1">
      <c r="A143" s="862"/>
      <c r="B143" s="257" t="s">
        <v>100</v>
      </c>
      <c r="C143" s="257" t="s">
        <v>101</v>
      </c>
      <c r="D143" s="285">
        <f>SUM(E143:I143)</f>
        <v>255591.9</v>
      </c>
      <c r="E143" s="386">
        <f>SUM(E144:E147)</f>
        <v>0</v>
      </c>
      <c r="F143" s="386">
        <f>SUM(F144:F147)</f>
        <v>84090</v>
      </c>
      <c r="G143" s="386">
        <f>SUM(G144:G147)</f>
        <v>4366.6000000000004</v>
      </c>
      <c r="H143" s="386">
        <f>SUM(H144:H147)</f>
        <v>55400</v>
      </c>
      <c r="I143" s="261">
        <f>SUM(I144:I147)</f>
        <v>111735.29999999999</v>
      </c>
      <c r="J143" s="617">
        <f>SUM(K143:O143)</f>
        <v>234450.35200000001</v>
      </c>
      <c r="K143" s="386">
        <f>SUM(K144:K147)</f>
        <v>0</v>
      </c>
      <c r="L143" s="618">
        <f>SUM(L144:L147)</f>
        <v>81584.900999999998</v>
      </c>
      <c r="M143" s="618">
        <f>SUM(M144:M147)</f>
        <v>1830.614</v>
      </c>
      <c r="N143" s="618">
        <f>SUM(N144:N147)</f>
        <v>55953.875999999997</v>
      </c>
      <c r="O143" s="617">
        <f>SUM(O144:O147)</f>
        <v>95080.960999999996</v>
      </c>
      <c r="P143" s="24"/>
    </row>
    <row r="144" spans="1:16" ht="12.75" customHeight="1" thickTop="1" thickBot="1">
      <c r="A144" s="862"/>
      <c r="B144" s="249" t="s">
        <v>102</v>
      </c>
      <c r="C144" s="250" t="s">
        <v>103</v>
      </c>
      <c r="D144" s="358">
        <f>SUM(E144:I144)</f>
        <v>63703.600254999998</v>
      </c>
      <c r="E144" s="252"/>
      <c r="F144" s="287"/>
      <c r="G144" s="287"/>
      <c r="H144" s="287"/>
      <c r="I144" s="288">
        <v>63703.600254999998</v>
      </c>
      <c r="J144" s="358">
        <f>SUM(K144:O144)</f>
        <v>72297.740000000005</v>
      </c>
      <c r="K144" s="252"/>
      <c r="L144" s="287"/>
      <c r="M144" s="287"/>
      <c r="N144" s="287"/>
      <c r="O144" s="288">
        <v>72297.740000000005</v>
      </c>
      <c r="P144" s="24"/>
    </row>
    <row r="145" spans="1:19" ht="12.75" customHeight="1" thickTop="1" thickBot="1">
      <c r="A145" s="862"/>
      <c r="B145" s="249" t="s">
        <v>104</v>
      </c>
      <c r="C145" s="250" t="s">
        <v>206</v>
      </c>
      <c r="D145" s="358">
        <f>SUM(E145:I145)</f>
        <v>0</v>
      </c>
      <c r="E145" s="252"/>
      <c r="F145" s="287"/>
      <c r="G145" s="287"/>
      <c r="H145" s="287"/>
      <c r="I145" s="288"/>
      <c r="J145" s="358">
        <f>SUM(K145:O145)</f>
        <v>0</v>
      </c>
      <c r="K145" s="252"/>
      <c r="L145" s="287"/>
      <c r="M145" s="287"/>
      <c r="N145" s="287"/>
      <c r="O145" s="288"/>
      <c r="P145" s="24"/>
    </row>
    <row r="146" spans="1:19" ht="12.75" customHeight="1" thickTop="1" thickBot="1">
      <c r="A146" s="862"/>
      <c r="B146" s="249" t="s">
        <v>106</v>
      </c>
      <c r="C146" s="250" t="s">
        <v>105</v>
      </c>
      <c r="D146" s="358">
        <f>SUM(E146:I146)</f>
        <v>191888.299745</v>
      </c>
      <c r="E146" s="289"/>
      <c r="F146" s="290">
        <v>84090</v>
      </c>
      <c r="G146" s="290">
        <v>4366.6000000000004</v>
      </c>
      <c r="H146" s="290">
        <v>55400</v>
      </c>
      <c r="I146" s="290">
        <v>48031.699744999998</v>
      </c>
      <c r="J146" s="358">
        <f>SUM(K146:O146)</f>
        <v>144583.37599999999</v>
      </c>
      <c r="K146" s="289"/>
      <c r="L146" s="290">
        <v>79865.289000000004</v>
      </c>
      <c r="M146" s="290">
        <v>1830.614</v>
      </c>
      <c r="N146" s="236">
        <v>46479.801999999996</v>
      </c>
      <c r="O146" s="290">
        <v>16407.670999999991</v>
      </c>
      <c r="P146" s="24"/>
    </row>
    <row r="147" spans="1:19" ht="12.75" customHeight="1" thickTop="1" thickBot="1">
      <c r="A147" s="862"/>
      <c r="B147" s="249" t="s">
        <v>207</v>
      </c>
      <c r="C147" s="250" t="s">
        <v>107</v>
      </c>
      <c r="D147" s="358">
        <f>SUM(E147:I147)</f>
        <v>0</v>
      </c>
      <c r="E147" s="289"/>
      <c r="F147" s="290"/>
      <c r="G147" s="290"/>
      <c r="H147" s="290"/>
      <c r="I147" s="290"/>
      <c r="J147" s="358">
        <f>SUM(K147:O147)</f>
        <v>17569.236000000001</v>
      </c>
      <c r="K147" s="289"/>
      <c r="L147" s="290">
        <v>1719.6120000000001</v>
      </c>
      <c r="M147" s="290">
        <v>0</v>
      </c>
      <c r="N147" s="290">
        <v>9474.0740000000005</v>
      </c>
      <c r="O147" s="290">
        <v>6375.55</v>
      </c>
      <c r="P147" s="24"/>
    </row>
    <row r="148" spans="1:19" ht="12.75" customHeight="1" thickTop="1" thickBot="1">
      <c r="A148" s="862"/>
      <c r="B148" s="249" t="s">
        <v>108</v>
      </c>
      <c r="C148" s="249" t="s">
        <v>208</v>
      </c>
      <c r="D148" s="291">
        <f>D150/1.18/D143</f>
        <v>1.3163365594879066</v>
      </c>
      <c r="E148" s="596">
        <v>0.74473000000000011</v>
      </c>
      <c r="F148" s="596">
        <v>0.74473000000000011</v>
      </c>
      <c r="G148" s="596">
        <v>0.96690999999999994</v>
      </c>
      <c r="H148" s="596">
        <v>1.5563600000000002</v>
      </c>
      <c r="I148" s="596">
        <v>2.20207</v>
      </c>
      <c r="J148" s="291">
        <f>J150/1.18/J143</f>
        <v>1.2650607732932724</v>
      </c>
      <c r="K148" s="596">
        <v>0.74830464659140794</v>
      </c>
      <c r="L148" s="596">
        <v>0.74830464659140794</v>
      </c>
      <c r="M148" s="596">
        <v>0.92697794291969793</v>
      </c>
      <c r="N148" s="596">
        <v>1.5485104871019122</v>
      </c>
      <c r="O148" s="596">
        <v>2.2146244554270877</v>
      </c>
      <c r="Q148" s="24"/>
    </row>
    <row r="149" spans="1:19" ht="12.75" customHeight="1" thickTop="1" thickBot="1">
      <c r="A149" s="862"/>
      <c r="B149" s="249" t="s">
        <v>205</v>
      </c>
      <c r="C149" s="249" t="s">
        <v>208</v>
      </c>
      <c r="D149" s="291"/>
      <c r="E149" s="289"/>
      <c r="F149" s="290"/>
      <c r="G149" s="290"/>
      <c r="H149" s="290"/>
      <c r="I149" s="598">
        <v>1.38056</v>
      </c>
      <c r="J149" s="291"/>
      <c r="K149" s="289"/>
      <c r="L149" s="290"/>
      <c r="M149" s="290"/>
      <c r="N149" s="290"/>
      <c r="O149" s="598">
        <v>1.4809492025615183</v>
      </c>
      <c r="R149" s="321"/>
    </row>
    <row r="150" spans="1:19" ht="12.75" customHeight="1" thickTop="1" thickBot="1">
      <c r="A150" s="862"/>
      <c r="B150" s="249" t="s">
        <v>109</v>
      </c>
      <c r="C150" s="292" t="s">
        <v>110</v>
      </c>
      <c r="D150" s="285">
        <f>SUM(E150:I150)</f>
        <v>397005.05548919295</v>
      </c>
      <c r="E150" s="597">
        <f>E143*E148*1.18</f>
        <v>0</v>
      </c>
      <c r="F150" s="597">
        <f>(F143*F148-F195)*1.18</f>
        <v>61695.94794400534</v>
      </c>
      <c r="G150" s="597">
        <f>G143*G148*1.18</f>
        <v>4982.08886308</v>
      </c>
      <c r="H150" s="597">
        <f>H143*H148*1.18</f>
        <v>101742.36592000001</v>
      </c>
      <c r="I150" s="597">
        <f>(I148*I146+I147*I148+I149*I144+I149*I145)*1.18</f>
        <v>228584.65276210761</v>
      </c>
      <c r="J150" s="261">
        <f>SUM(K150:O150)</f>
        <v>349980.85344799992</v>
      </c>
      <c r="K150" s="261">
        <f>K143*K148*1.18</f>
        <v>0</v>
      </c>
      <c r="L150" s="285">
        <f>(L143*L148-L195)*1.18</f>
        <v>59857.01301960001</v>
      </c>
      <c r="M150" s="261">
        <f>M143*M148*1.18</f>
        <v>2002.3877839999998</v>
      </c>
      <c r="N150" s="261">
        <f>N143*N148*1.18</f>
        <v>102241.29326039998</v>
      </c>
      <c r="O150" s="597">
        <f>(O148*O146+O147*O148+O149*O144+O149*O145)*1.18</f>
        <v>185880.15938399991</v>
      </c>
    </row>
    <row r="151" spans="1:19" ht="12.75" customHeight="1" thickTop="1" thickBot="1">
      <c r="A151" s="863" t="s">
        <v>111</v>
      </c>
      <c r="B151" s="220" t="s">
        <v>112</v>
      </c>
      <c r="C151" s="221" t="s">
        <v>113</v>
      </c>
      <c r="D151" s="379">
        <f>SUM(E151:I151)</f>
        <v>22440</v>
      </c>
      <c r="E151" s="222">
        <f>E44-E34-E46</f>
        <v>0</v>
      </c>
      <c r="F151" s="222">
        <f t="shared" ref="F151:I151" si="24">F44-F34-F46</f>
        <v>3600</v>
      </c>
      <c r="G151" s="222">
        <f t="shared" si="24"/>
        <v>1700</v>
      </c>
      <c r="H151" s="222">
        <f t="shared" si="24"/>
        <v>6600</v>
      </c>
      <c r="I151" s="222">
        <f t="shared" si="24"/>
        <v>10540</v>
      </c>
      <c r="J151" s="685">
        <f>SUM(K151:O151)</f>
        <v>15053.304999999997</v>
      </c>
      <c r="K151" s="222">
        <f>K44-K34-K46</f>
        <v>0</v>
      </c>
      <c r="L151" s="335">
        <f>L44-L34-L46</f>
        <v>2588.7750000000015</v>
      </c>
      <c r="M151" s="335">
        <f>M44-M34-M46</f>
        <v>1207.9209999999994</v>
      </c>
      <c r="N151" s="335">
        <f>N44-N34-N46</f>
        <v>6384.25</v>
      </c>
      <c r="O151" s="335">
        <f>O44-O34-O46</f>
        <v>4872.3589999999967</v>
      </c>
    </row>
    <row r="152" spans="1:19" ht="12.75" customHeight="1" thickTop="1" thickBot="1">
      <c r="A152" s="863"/>
      <c r="B152" s="234" t="s">
        <v>114</v>
      </c>
      <c r="C152" s="179" t="s">
        <v>115</v>
      </c>
      <c r="D152" s="346">
        <f t="shared" ref="D152:J152" si="25">IF(D44=0,0,D151/D44*100)</f>
        <v>8.0346593146908223</v>
      </c>
      <c r="E152" s="346">
        <f t="shared" si="25"/>
        <v>0</v>
      </c>
      <c r="F152" s="346">
        <f t="shared" si="25"/>
        <v>1.6103059581320449</v>
      </c>
      <c r="G152" s="346">
        <f t="shared" si="25"/>
        <v>2.1565941036180036</v>
      </c>
      <c r="H152" s="346">
        <f t="shared" si="25"/>
        <v>3.256364712847839</v>
      </c>
      <c r="I152" s="346">
        <f t="shared" si="25"/>
        <v>8.5823629997557198</v>
      </c>
      <c r="J152" s="346">
        <f t="shared" si="25"/>
        <v>5.9930527700835148</v>
      </c>
      <c r="K152" s="346">
        <f>IF(K44=0,0,K151/K44*100)</f>
        <v>0</v>
      </c>
      <c r="L152" s="346">
        <f t="shared" ref="L152:O152" si="26">IF(L44=0,0,L151/L44*100)</f>
        <v>1.2894483005210624</v>
      </c>
      <c r="M152" s="346">
        <f t="shared" si="26"/>
        <v>1.7466173776023366</v>
      </c>
      <c r="N152" s="346">
        <f t="shared" si="26"/>
        <v>3.4833717611743857</v>
      </c>
      <c r="O152" s="346">
        <f t="shared" si="26"/>
        <v>4.8215810018372478</v>
      </c>
      <c r="R152" s="321"/>
    </row>
    <row r="153" spans="1:19" ht="12.75" customHeight="1" thickTop="1" thickBot="1">
      <c r="A153" s="863"/>
      <c r="B153" s="234" t="s">
        <v>116</v>
      </c>
      <c r="C153" s="179" t="s">
        <v>117</v>
      </c>
      <c r="D153" s="346">
        <f t="shared" ref="D153:J153" si="27">IF(D45=0,0,D151/D45*100)</f>
        <v>8.0346593146908223</v>
      </c>
      <c r="E153" s="346">
        <f t="shared" si="27"/>
        <v>0</v>
      </c>
      <c r="F153" s="346">
        <f t="shared" si="27"/>
        <v>1.6103059581320449</v>
      </c>
      <c r="G153" s="346">
        <f t="shared" si="27"/>
        <v>2.201941335101794</v>
      </c>
      <c r="H153" s="346">
        <f t="shared" si="27"/>
        <v>3.5714285714285712</v>
      </c>
      <c r="I153" s="346">
        <f t="shared" si="27"/>
        <v>8.6198929792034864</v>
      </c>
      <c r="J153" s="346">
        <f t="shared" si="27"/>
        <v>5.9930527700835148</v>
      </c>
      <c r="K153" s="346">
        <f>IF(K45=0,0,K151/K45*100)</f>
        <v>0</v>
      </c>
      <c r="L153" s="346">
        <f t="shared" ref="L153:O153" si="28">IF(L45=0,0,L151/L45*100)</f>
        <v>1.2894483005210624</v>
      </c>
      <c r="M153" s="346">
        <f t="shared" si="28"/>
        <v>1.7479460471587029</v>
      </c>
      <c r="N153" s="346">
        <f t="shared" si="28"/>
        <v>3.909423742091894</v>
      </c>
      <c r="O153" s="346">
        <f t="shared" si="28"/>
        <v>4.8746344793749694</v>
      </c>
    </row>
    <row r="154" spans="1:19" ht="12.75" customHeight="1" thickTop="1" thickBot="1">
      <c r="A154" s="863"/>
      <c r="B154" s="224" t="s">
        <v>118</v>
      </c>
      <c r="C154" s="225" t="s">
        <v>209</v>
      </c>
      <c r="D154" s="451">
        <f>SUM(E154:I154)</f>
        <v>2250.902167432017</v>
      </c>
      <c r="E154" s="442"/>
      <c r="F154" s="290">
        <f>1907.54420968815*1.18</f>
        <v>2250.902167432017</v>
      </c>
      <c r="G154" s="442"/>
      <c r="H154" s="442"/>
      <c r="I154" s="442"/>
      <c r="J154" s="442">
        <f>SUM(K154:O154)</f>
        <v>3990.0586669999998</v>
      </c>
      <c r="K154" s="442">
        <v>0</v>
      </c>
      <c r="L154" s="452">
        <f>3381.40565*1.18</f>
        <v>3990.0586669999998</v>
      </c>
      <c r="M154" s="442">
        <v>0</v>
      </c>
      <c r="N154" s="442">
        <v>0</v>
      </c>
      <c r="O154" s="442">
        <v>0</v>
      </c>
    </row>
    <row r="155" spans="1:19" ht="12.75" customHeight="1" thickTop="1" thickBot="1">
      <c r="A155" s="863"/>
      <c r="B155" s="227" t="s">
        <v>120</v>
      </c>
      <c r="C155" s="186" t="s">
        <v>121</v>
      </c>
      <c r="D155" s="443">
        <f>SUM(E155:I155)</f>
        <v>22440</v>
      </c>
      <c r="E155" s="448">
        <f>E151</f>
        <v>0</v>
      </c>
      <c r="F155" s="448">
        <f>F151</f>
        <v>3600</v>
      </c>
      <c r="G155" s="448">
        <f>G151</f>
        <v>1700</v>
      </c>
      <c r="H155" s="448">
        <f>H151</f>
        <v>6600</v>
      </c>
      <c r="I155" s="448">
        <f>I151</f>
        <v>10540</v>
      </c>
      <c r="J155" s="448">
        <f>SUM(K155:O155)</f>
        <v>15053.304999999997</v>
      </c>
      <c r="K155" s="448">
        <f>K151</f>
        <v>0</v>
      </c>
      <c r="L155" s="448">
        <f>L151</f>
        <v>2588.7750000000015</v>
      </c>
      <c r="M155" s="448">
        <f>M151</f>
        <v>1207.9209999999994</v>
      </c>
      <c r="N155" s="448">
        <f>N151</f>
        <v>6384.25</v>
      </c>
      <c r="O155" s="448">
        <f>O151</f>
        <v>4872.3589999999967</v>
      </c>
    </row>
    <row r="156" spans="1:19" ht="12.75" customHeight="1" thickTop="1" thickBot="1">
      <c r="A156" s="863"/>
      <c r="B156" s="227" t="s">
        <v>122</v>
      </c>
      <c r="C156" s="186" t="s">
        <v>167</v>
      </c>
      <c r="D156" s="444">
        <f>D157/1.18/D155</f>
        <v>1.7454770555433095</v>
      </c>
      <c r="E156" s="341">
        <v>1.7454770555433092</v>
      </c>
      <c r="F156" s="341">
        <v>1.7454770555433092</v>
      </c>
      <c r="G156" s="341">
        <v>1.7454770555433092</v>
      </c>
      <c r="H156" s="341">
        <v>1.7454770555433092</v>
      </c>
      <c r="I156" s="341">
        <v>1.7454770555433092</v>
      </c>
      <c r="J156" s="444">
        <f>J157/1.18/J155</f>
        <v>1.4883129153365326</v>
      </c>
      <c r="K156" s="341">
        <v>1.4883129153365326</v>
      </c>
      <c r="L156" s="341">
        <v>1.4883129153365326</v>
      </c>
      <c r="M156" s="341">
        <v>1.4883129153365326</v>
      </c>
      <c r="N156" s="341">
        <v>1.4883129153365326</v>
      </c>
      <c r="O156" s="341">
        <v>1.4883129153365326</v>
      </c>
    </row>
    <row r="157" spans="1:19" ht="12.75" customHeight="1" thickTop="1" thickBot="1">
      <c r="A157" s="863"/>
      <c r="B157" s="227" t="s">
        <v>124</v>
      </c>
      <c r="C157" s="186" t="s">
        <v>168</v>
      </c>
      <c r="D157" s="443">
        <f>SUM(E157:I157)</f>
        <v>46218.836049142395</v>
      </c>
      <c r="E157" s="443">
        <f>E155*E156*1.18</f>
        <v>0</v>
      </c>
      <c r="F157" s="443">
        <f>F155*F156*1.18</f>
        <v>7414.7865319479779</v>
      </c>
      <c r="G157" s="443">
        <f>G155*G156*1.18</f>
        <v>3501.4269734198783</v>
      </c>
      <c r="H157" s="443">
        <f>H155*H156*1.18</f>
        <v>13593.775308571292</v>
      </c>
      <c r="I157" s="443">
        <f>I155*I156*1.18</f>
        <v>21708.847235203244</v>
      </c>
      <c r="J157" s="448">
        <f>SUM(K157:O157)</f>
        <v>26436.753334999998</v>
      </c>
      <c r="K157" s="448">
        <f>K155*K156*1.18</f>
        <v>0</v>
      </c>
      <c r="L157" s="448">
        <f>L155*L156*1.18</f>
        <v>4546.4305755323949</v>
      </c>
      <c r="M157" s="448">
        <f>M155*M156*1.18</f>
        <v>2121.3620215073383</v>
      </c>
      <c r="N157" s="448">
        <f>N155*N156*1.18</f>
        <v>11212.078841089964</v>
      </c>
      <c r="O157" s="448">
        <f>O155*O156*1.18</f>
        <v>8556.8818968703017</v>
      </c>
    </row>
    <row r="158" spans="1:19" ht="12.75" customHeight="1" thickTop="1" thickBot="1">
      <c r="A158" s="863"/>
      <c r="B158" s="229" t="s">
        <v>126</v>
      </c>
      <c r="C158" s="225" t="s">
        <v>127</v>
      </c>
      <c r="D158" s="445">
        <f>SUM(E158:I158)</f>
        <v>19190</v>
      </c>
      <c r="E158" s="451">
        <f>E160*E45</f>
        <v>0</v>
      </c>
      <c r="F158" s="451">
        <f>F160*F45/100</f>
        <v>3599.9999999999995</v>
      </c>
      <c r="G158" s="451">
        <f>G160*G45/100</f>
        <v>1699.9999999999998</v>
      </c>
      <c r="H158" s="451">
        <f>H160*H45/100</f>
        <v>6600</v>
      </c>
      <c r="I158" s="451">
        <f>I160*I45/100</f>
        <v>7289.9999999999991</v>
      </c>
      <c r="J158" s="442">
        <f>SUM(K158:O158)</f>
        <v>17256.013999999999</v>
      </c>
      <c r="K158" s="453"/>
      <c r="L158" s="453">
        <v>2588.7750000000015</v>
      </c>
      <c r="M158" s="453">
        <v>1207.9209999999994</v>
      </c>
      <c r="N158" s="453">
        <v>6384.25</v>
      </c>
      <c r="O158" s="738">
        <v>7075.0680000000002</v>
      </c>
    </row>
    <row r="159" spans="1:19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29">IF(D44=0,0,D158/D44*100)</f>
        <v>6.8709943069927313</v>
      </c>
      <c r="E159" s="345">
        <f t="shared" si="29"/>
        <v>0</v>
      </c>
      <c r="F159" s="345">
        <f t="shared" si="29"/>
        <v>1.6103059581320449</v>
      </c>
      <c r="G159" s="345">
        <f t="shared" si="29"/>
        <v>2.1565941036180036</v>
      </c>
      <c r="H159" s="345">
        <f t="shared" si="29"/>
        <v>3.256364712847839</v>
      </c>
      <c r="I159" s="345">
        <f t="shared" si="29"/>
        <v>5.9359986971744965</v>
      </c>
      <c r="J159" s="345">
        <f t="shared" si="29"/>
        <v>6.8699998108920219</v>
      </c>
      <c r="K159" s="345">
        <f>IF(K44=0,0,K158/K44*100)</f>
        <v>0</v>
      </c>
      <c r="L159" s="345">
        <f t="shared" si="29"/>
        <v>1.2894483005210624</v>
      </c>
      <c r="M159" s="345">
        <f t="shared" si="29"/>
        <v>1.7466173776023366</v>
      </c>
      <c r="N159" s="345">
        <f t="shared" si="29"/>
        <v>3.4833717611743857</v>
      </c>
      <c r="O159" s="345">
        <f t="shared" si="29"/>
        <v>7.0013341495375609</v>
      </c>
      <c r="P159" s="25"/>
      <c r="Q159" s="25"/>
      <c r="R159" s="25"/>
      <c r="S159" s="25"/>
    </row>
    <row r="160" spans="1:19" ht="12.75" customHeight="1" thickTop="1" thickBot="1">
      <c r="A160" s="863"/>
      <c r="B160" s="230" t="s">
        <v>130</v>
      </c>
      <c r="C160" s="225" t="s">
        <v>131</v>
      </c>
      <c r="D160" s="345">
        <f>IF(D45=0,0,D158/D45*100)</f>
        <v>6.8709943069927313</v>
      </c>
      <c r="E160" s="317">
        <v>0</v>
      </c>
      <c r="F160" s="454">
        <v>1.6103059581320449</v>
      </c>
      <c r="G160" s="454">
        <v>2.201941335101794</v>
      </c>
      <c r="H160" s="454">
        <v>3.5714285714285712</v>
      </c>
      <c r="I160" s="454">
        <v>5.961956339506016</v>
      </c>
      <c r="J160" s="345">
        <f>IF(J45=0,0,J158/J45*100)</f>
        <v>6.8699998108920219</v>
      </c>
      <c r="K160" s="345">
        <f>IF(K45=0,0,K158/K45*100)</f>
        <v>0</v>
      </c>
      <c r="L160" s="345">
        <f t="shared" ref="L160:O160" si="30">IF(L45=0,0,L158/L45*100)</f>
        <v>1.2894483005210624</v>
      </c>
      <c r="M160" s="345">
        <f t="shared" si="30"/>
        <v>1.7479460471587029</v>
      </c>
      <c r="N160" s="345">
        <f t="shared" si="30"/>
        <v>3.909423742091894</v>
      </c>
      <c r="O160" s="345">
        <f t="shared" si="30"/>
        <v>7.0783721841355547</v>
      </c>
      <c r="P160" s="25"/>
      <c r="Q160" s="25"/>
      <c r="R160" s="25"/>
      <c r="S160" s="25"/>
    </row>
    <row r="161" spans="1:17" ht="12.75" customHeight="1" thickTop="1" thickBot="1">
      <c r="A161" s="863"/>
      <c r="B161" s="231" t="s">
        <v>132</v>
      </c>
      <c r="C161" s="186" t="s">
        <v>133</v>
      </c>
      <c r="D161" s="443">
        <f>SUM(E161:I161)</f>
        <v>3250.0000000000009</v>
      </c>
      <c r="E161" s="251">
        <f>E151-E158</f>
        <v>0</v>
      </c>
      <c r="F161" s="448">
        <f>F151-F158</f>
        <v>0</v>
      </c>
      <c r="G161" s="448">
        <f>G151-G158</f>
        <v>0</v>
      </c>
      <c r="H161" s="448">
        <f>H151-H158</f>
        <v>0</v>
      </c>
      <c r="I161" s="448">
        <f>I151-I158</f>
        <v>3250.0000000000009</v>
      </c>
      <c r="J161" s="448">
        <f>SUM(K161:O161)</f>
        <v>-2202.7090000000035</v>
      </c>
      <c r="K161" s="448">
        <f>K151-K158</f>
        <v>0</v>
      </c>
      <c r="L161" s="448">
        <f>L151-L158</f>
        <v>0</v>
      </c>
      <c r="M161" s="448">
        <f>M151-M158</f>
        <v>0</v>
      </c>
      <c r="N161" s="448">
        <f>N151-N158</f>
        <v>0</v>
      </c>
      <c r="O161" s="448">
        <f>O151-O158</f>
        <v>-2202.7090000000035</v>
      </c>
    </row>
    <row r="162" spans="1:17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1.1636650076980919</v>
      </c>
      <c r="E162" s="347">
        <f t="shared" ref="E162:I162" si="31">IF(E44=0,0,E161/E44*100)</f>
        <v>0</v>
      </c>
      <c r="F162" s="347">
        <f t="shared" si="31"/>
        <v>0</v>
      </c>
      <c r="G162" s="347">
        <f t="shared" si="31"/>
        <v>0</v>
      </c>
      <c r="H162" s="347">
        <f t="shared" si="31"/>
        <v>0</v>
      </c>
      <c r="I162" s="347">
        <f t="shared" si="31"/>
        <v>2.6463643025812238</v>
      </c>
      <c r="J162" s="347">
        <f>IF(J44=0,0,J161/J44*100)</f>
        <v>-0.87694704080850761</v>
      </c>
      <c r="K162" s="347">
        <f>IF(K44=0,0,K161/K44*100)</f>
        <v>0</v>
      </c>
      <c r="L162" s="347">
        <f t="shared" ref="L162:O162" si="32">IF(L44=0,0,L161/L44*100)</f>
        <v>0</v>
      </c>
      <c r="M162" s="347">
        <f t="shared" si="32"/>
        <v>0</v>
      </c>
      <c r="N162" s="347">
        <f t="shared" si="32"/>
        <v>0</v>
      </c>
      <c r="O162" s="347">
        <f t="shared" si="32"/>
        <v>-2.1797531477003123</v>
      </c>
    </row>
    <row r="163" spans="1:17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1.1636650076980919</v>
      </c>
      <c r="E163" s="347">
        <f t="shared" ref="E163:O163" si="33">IF(E45=0,0,E161/E45*100)</f>
        <v>0</v>
      </c>
      <c r="F163" s="347">
        <f t="shared" si="33"/>
        <v>0</v>
      </c>
      <c r="G163" s="347">
        <f t="shared" si="33"/>
        <v>0</v>
      </c>
      <c r="H163" s="347">
        <f t="shared" si="33"/>
        <v>0</v>
      </c>
      <c r="I163" s="347">
        <f t="shared" si="33"/>
        <v>2.6579366396974708</v>
      </c>
      <c r="J163" s="347">
        <f t="shared" si="33"/>
        <v>-0.87694704080850761</v>
      </c>
      <c r="K163" s="347">
        <f t="shared" si="33"/>
        <v>0</v>
      </c>
      <c r="L163" s="347">
        <f t="shared" si="33"/>
        <v>0</v>
      </c>
      <c r="M163" s="347">
        <f t="shared" si="33"/>
        <v>0</v>
      </c>
      <c r="N163" s="347">
        <f t="shared" si="33"/>
        <v>0</v>
      </c>
      <c r="O163" s="347">
        <f t="shared" si="33"/>
        <v>-2.2037377047605857</v>
      </c>
    </row>
    <row r="164" spans="1:17">
      <c r="A164" s="94" t="s">
        <v>210</v>
      </c>
      <c r="D164" s="95"/>
      <c r="E164" s="95"/>
      <c r="F164" s="601"/>
      <c r="G164" s="601"/>
      <c r="H164" s="601"/>
      <c r="I164" s="601"/>
      <c r="J164" s="348"/>
      <c r="K164" s="348"/>
      <c r="L164" s="348"/>
      <c r="M164" s="348"/>
      <c r="N164" s="348"/>
      <c r="O164" s="348"/>
    </row>
    <row r="165" spans="1:17" ht="12.75" thickBot="1">
      <c r="D165" s="95"/>
      <c r="E165" s="93"/>
      <c r="F165" s="342"/>
      <c r="G165" s="342"/>
      <c r="H165" s="342"/>
      <c r="I165" s="342"/>
      <c r="J165" s="348"/>
      <c r="K165" s="348"/>
      <c r="L165" s="342"/>
      <c r="M165" s="342"/>
      <c r="N165" s="342"/>
      <c r="O165" s="342"/>
    </row>
    <row r="166" spans="1:17" ht="12.75" customHeight="1" thickBot="1">
      <c r="B166" s="854" t="s">
        <v>138</v>
      </c>
      <c r="C166" s="855" t="s">
        <v>139</v>
      </c>
      <c r="D166" s="842" t="s">
        <v>140</v>
      </c>
      <c r="E166" s="843"/>
      <c r="F166" s="843"/>
      <c r="G166" s="843"/>
      <c r="H166" s="843"/>
      <c r="I166" s="844"/>
      <c r="J166" s="842" t="s">
        <v>140</v>
      </c>
      <c r="K166" s="843"/>
      <c r="L166" s="843"/>
      <c r="M166" s="843"/>
      <c r="N166" s="843"/>
      <c r="O166" s="844"/>
    </row>
    <row r="167" spans="1:17">
      <c r="B167" s="854"/>
      <c r="C167" s="855"/>
      <c r="D167" s="96" t="s">
        <v>141</v>
      </c>
      <c r="E167" s="97"/>
      <c r="F167" s="97" t="s">
        <v>5</v>
      </c>
      <c r="G167" s="98" t="s">
        <v>74</v>
      </c>
      <c r="H167" s="98" t="s">
        <v>76</v>
      </c>
      <c r="I167" s="99" t="s">
        <v>8</v>
      </c>
      <c r="J167" s="96" t="s">
        <v>141</v>
      </c>
      <c r="K167" s="97"/>
      <c r="L167" s="97" t="s">
        <v>5</v>
      </c>
      <c r="M167" s="98" t="s">
        <v>74</v>
      </c>
      <c r="N167" s="98" t="s">
        <v>76</v>
      </c>
      <c r="O167" s="99" t="s">
        <v>8</v>
      </c>
    </row>
    <row r="168" spans="1:17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7" ht="12.75">
      <c r="B169" s="32" t="s">
        <v>10</v>
      </c>
      <c r="C169" s="33" t="s">
        <v>142</v>
      </c>
      <c r="D169" s="34">
        <f>D174+D175+D176</f>
        <v>279290</v>
      </c>
      <c r="E169" s="35"/>
      <c r="F169" s="36">
        <f>F170+F174+F175+F176</f>
        <v>223560</v>
      </c>
      <c r="G169" s="36">
        <f>G170+G174+G175+G176</f>
        <v>77298</v>
      </c>
      <c r="H169" s="36">
        <f>H170+H174+H175+H176</f>
        <v>185430</v>
      </c>
      <c r="I169" s="37">
        <f>I170+I174+I175+I176</f>
        <v>122810</v>
      </c>
      <c r="J169" s="34">
        <f>J174+J175+J176</f>
        <v>251179.24999999997</v>
      </c>
      <c r="K169" s="35"/>
      <c r="L169" s="36">
        <f>L170+L174+L175+L176</f>
        <v>200766.095</v>
      </c>
      <c r="M169" s="36">
        <f>M170+M174+M175+M176</f>
        <v>69105.164999999994</v>
      </c>
      <c r="N169" s="36">
        <f>N170+N174+N175+N176</f>
        <v>163879.89199999999</v>
      </c>
      <c r="O169" s="37">
        <f>O170+O174+O175+O176</f>
        <v>101053.14</v>
      </c>
    </row>
    <row r="170" spans="1:17" ht="12.75">
      <c r="B170" s="38" t="s">
        <v>12</v>
      </c>
      <c r="C170" s="39" t="s">
        <v>143</v>
      </c>
      <c r="D170" s="675">
        <f t="shared" ref="D170:D177" si="34">SUM(F170:I170)</f>
        <v>329808</v>
      </c>
      <c r="E170" s="676"/>
      <c r="F170" s="676"/>
      <c r="G170" s="677">
        <f>SUM(G171:G173)</f>
        <v>43728</v>
      </c>
      <c r="H170" s="677">
        <f>SUM(H171:H173)</f>
        <v>163280</v>
      </c>
      <c r="I170" s="678">
        <f>SUM(I171:I173)</f>
        <v>122800</v>
      </c>
      <c r="J170" s="675">
        <f t="shared" ref="J170:J177" si="35">SUM(L170:O170)</f>
        <v>283625.04200000002</v>
      </c>
      <c r="K170" s="676"/>
      <c r="L170" s="676"/>
      <c r="M170" s="677">
        <f>SUM(M171:M173)</f>
        <v>40381.825999999994</v>
      </c>
      <c r="N170" s="677">
        <f>SUM(N171:N173)</f>
        <v>142277.223</v>
      </c>
      <c r="O170" s="678">
        <f>SUM(O171:O173)</f>
        <v>100965.993</v>
      </c>
      <c r="Q170" s="321"/>
    </row>
    <row r="171" spans="1:17" ht="12.75">
      <c r="B171" s="40" t="s">
        <v>144</v>
      </c>
      <c r="C171" s="41" t="s">
        <v>145</v>
      </c>
      <c r="D171" s="42">
        <f t="shared" si="34"/>
        <v>135870</v>
      </c>
      <c r="E171" s="43"/>
      <c r="F171" s="44"/>
      <c r="G171" s="45">
        <f>G31-G49-G61-G73-G85-G97-G78-G109-G121-G54-G66-G90-G102-G114-G126</f>
        <v>43728</v>
      </c>
      <c r="H171" s="45">
        <f>H31-H49-H61-H73-H85-H97-H78-H54-H109-H66-H90-H102-H114-H121-H126</f>
        <v>92142</v>
      </c>
      <c r="I171" s="46"/>
      <c r="J171" s="42">
        <f t="shared" si="35"/>
        <v>116592.41899999999</v>
      </c>
      <c r="K171" s="43"/>
      <c r="L171" s="44"/>
      <c r="M171" s="45">
        <f>M31-M49-M61-M73-M85-M97-M78-M109-M121-M54-M66-M90-M102-M114-M126</f>
        <v>40381.825999999994</v>
      </c>
      <c r="N171" s="45">
        <f>N31-N49-N61-N73-N85-N97-N78-N54-N109-N66-N90-N102-N114-N121-N126</f>
        <v>76210.593000000008</v>
      </c>
      <c r="O171" s="46"/>
    </row>
    <row r="172" spans="1:17" ht="12.75">
      <c r="B172" s="47" t="s">
        <v>146</v>
      </c>
      <c r="C172" s="48" t="s">
        <v>6</v>
      </c>
      <c r="D172" s="42">
        <f t="shared" si="34"/>
        <v>71138</v>
      </c>
      <c r="E172" s="43"/>
      <c r="F172" s="44"/>
      <c r="G172" s="49"/>
      <c r="H172" s="45">
        <f>H32-H50-H62-H74-H86-H98-H110-H55-H67-H79-H91-H103-H115-H122-H127</f>
        <v>71138</v>
      </c>
      <c r="I172" s="50">
        <f>I32-I50-I55-I62-I67-I74-I79-I86-I91-I98-I103-I110-I115-I122-I127</f>
        <v>0</v>
      </c>
      <c r="J172" s="42">
        <f t="shared" si="35"/>
        <v>66066.62999999999</v>
      </c>
      <c r="K172" s="43"/>
      <c r="L172" s="44"/>
      <c r="M172" s="49"/>
      <c r="N172" s="45">
        <f>N32-N50-N62-N74-N86-N98-N110-N55-N67-N79-N91-N103-N115-N122-N127</f>
        <v>66066.62999999999</v>
      </c>
      <c r="O172" s="50">
        <f>O32-O50-O55-O62-O67-O74-O79-O86-O91-O98-O103-O110-O115-O122-O127</f>
        <v>0</v>
      </c>
    </row>
    <row r="173" spans="1:17" ht="12.75">
      <c r="B173" s="51" t="s">
        <v>147</v>
      </c>
      <c r="C173" s="52" t="s">
        <v>7</v>
      </c>
      <c r="D173" s="53">
        <f t="shared" si="34"/>
        <v>122800</v>
      </c>
      <c r="E173" s="54"/>
      <c r="F173" s="55"/>
      <c r="G173" s="56"/>
      <c r="H173" s="56"/>
      <c r="I173" s="57">
        <f>I33-I51-I87-I75-I99-I111-I56-I63-I68-I80-I92-I104-I116-I123-I128</f>
        <v>122800</v>
      </c>
      <c r="J173" s="53">
        <f t="shared" si="35"/>
        <v>100965.993</v>
      </c>
      <c r="K173" s="54"/>
      <c r="L173" s="55"/>
      <c r="M173" s="56"/>
      <c r="N173" s="56"/>
      <c r="O173" s="57">
        <f>O33-O51-O87-O75-O99-O111-O56-O63-O68-O80-O92-O104-O116-O123-O128</f>
        <v>100965.993</v>
      </c>
    </row>
    <row r="174" spans="1:17" ht="12.75">
      <c r="B174" s="58" t="s">
        <v>14</v>
      </c>
      <c r="C174" s="39" t="s">
        <v>148</v>
      </c>
      <c r="D174" s="110">
        <f t="shared" si="34"/>
        <v>176743</v>
      </c>
      <c r="E174" s="111"/>
      <c r="F174" s="111">
        <f>F28+E28</f>
        <v>149033</v>
      </c>
      <c r="G174" s="112">
        <f>G28</f>
        <v>24490</v>
      </c>
      <c r="H174" s="112">
        <f>H28</f>
        <v>3220</v>
      </c>
      <c r="I174" s="113">
        <f>I28</f>
        <v>0</v>
      </c>
      <c r="J174" s="110">
        <f t="shared" si="35"/>
        <v>243779.83399999997</v>
      </c>
      <c r="K174" s="111"/>
      <c r="L174" s="111">
        <f>L28+K28</f>
        <v>222664.18599999999</v>
      </c>
      <c r="M174" s="112">
        <f>M28</f>
        <v>18524.182000000001</v>
      </c>
      <c r="N174" s="112">
        <f>N28</f>
        <v>2591.4659999999999</v>
      </c>
      <c r="O174" s="113">
        <f>O28</f>
        <v>0</v>
      </c>
    </row>
    <row r="175" spans="1:17" ht="12.75">
      <c r="B175" s="59" t="s">
        <v>16</v>
      </c>
      <c r="C175" s="60" t="s">
        <v>149</v>
      </c>
      <c r="D175" s="123">
        <f t="shared" si="34"/>
        <v>102547</v>
      </c>
      <c r="E175" s="124"/>
      <c r="F175" s="125">
        <f>F23+F24+F25+E23+E24+E25</f>
        <v>74527</v>
      </c>
      <c r="G175" s="125">
        <f>G23+G24+G25</f>
        <v>9080</v>
      </c>
      <c r="H175" s="125">
        <f>H23+H24+H25</f>
        <v>18930</v>
      </c>
      <c r="I175" s="126">
        <f>I23+I24+I25</f>
        <v>10</v>
      </c>
      <c r="J175" s="123">
        <f t="shared" si="35"/>
        <v>7399.4160000000074</v>
      </c>
      <c r="K175" s="124"/>
      <c r="L175" s="125">
        <f>L23+L24+L25+K23+K24+K25</f>
        <v>-21898.090999999989</v>
      </c>
      <c r="M175" s="125">
        <f>M23+M24+M25</f>
        <v>10199.156999999999</v>
      </c>
      <c r="N175" s="125">
        <f>N23+N24+N25</f>
        <v>19011.202999999998</v>
      </c>
      <c r="O175" s="126">
        <f>O23+O24+O25</f>
        <v>87.147000000000006</v>
      </c>
    </row>
    <row r="176" spans="1:17" ht="13.5" thickBot="1">
      <c r="B176" s="61" t="s">
        <v>20</v>
      </c>
      <c r="C176" s="62" t="s">
        <v>150</v>
      </c>
      <c r="D176" s="129">
        <f t="shared" si="34"/>
        <v>0</v>
      </c>
      <c r="E176" s="130"/>
      <c r="F176" s="131">
        <f>F29+E29</f>
        <v>0</v>
      </c>
      <c r="G176" s="131">
        <f>G29</f>
        <v>0</v>
      </c>
      <c r="H176" s="131">
        <f>H29</f>
        <v>0</v>
      </c>
      <c r="I176" s="132">
        <f>I29</f>
        <v>0</v>
      </c>
      <c r="J176" s="129">
        <f t="shared" si="35"/>
        <v>0</v>
      </c>
      <c r="K176" s="130"/>
      <c r="L176" s="131">
        <f>L29+K29</f>
        <v>0</v>
      </c>
      <c r="M176" s="131">
        <f>M29</f>
        <v>0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34"/>
        <v>22440.000000000015</v>
      </c>
      <c r="E177" s="136"/>
      <c r="F177" s="136">
        <f>F169-F180-G171-H171</f>
        <v>3600</v>
      </c>
      <c r="G177" s="136">
        <f>G169-G180-H172-I172</f>
        <v>1700</v>
      </c>
      <c r="H177" s="136">
        <f>H169-H180-I173</f>
        <v>6600</v>
      </c>
      <c r="I177" s="137">
        <f>I169-I180</f>
        <v>10540.000000000015</v>
      </c>
      <c r="J177" s="135">
        <f t="shared" si="35"/>
        <v>15053.304999999993</v>
      </c>
      <c r="K177" s="136"/>
      <c r="L177" s="714">
        <f>L169-L180-M171-N171</f>
        <v>2588.7750000000087</v>
      </c>
      <c r="M177" s="714">
        <f>M169-M180-N172-O172</f>
        <v>1207.9210000000021</v>
      </c>
      <c r="N177" s="714">
        <f>N169-N180-O173</f>
        <v>6384.2499999999854</v>
      </c>
      <c r="O177" s="715">
        <f>O169-O180</f>
        <v>4872.3589999999967</v>
      </c>
    </row>
    <row r="178" spans="1:15" ht="13.5" thickBot="1">
      <c r="B178" s="64"/>
      <c r="C178" s="65" t="s">
        <v>152</v>
      </c>
      <c r="D178" s="441">
        <f>IF(D169=0,0,D177/D169*100)</f>
        <v>8.0346593146908276</v>
      </c>
      <c r="E178" s="140"/>
      <c r="F178" s="441">
        <f t="shared" ref="F178:I178" si="36">IF(F169=0,0,F177/F169*100)</f>
        <v>1.6103059581320449</v>
      </c>
      <c r="G178" s="441">
        <f t="shared" si="36"/>
        <v>2.1992807058397368</v>
      </c>
      <c r="H178" s="441">
        <f t="shared" si="36"/>
        <v>3.5592946125222458</v>
      </c>
      <c r="I178" s="441">
        <f t="shared" si="36"/>
        <v>8.5823629997557322</v>
      </c>
      <c r="J178" s="441">
        <f>IF(J169=0,0,J177/J169*100)</f>
        <v>5.9930527700835139</v>
      </c>
      <c r="K178" s="140"/>
      <c r="L178" s="441">
        <f t="shared" ref="L178:O178" si="37">IF(L169=0,0,L177/L169*100)</f>
        <v>1.289448300521066</v>
      </c>
      <c r="M178" s="441">
        <f t="shared" si="37"/>
        <v>1.7479460471587069</v>
      </c>
      <c r="N178" s="441">
        <f t="shared" si="37"/>
        <v>3.8956884350399656</v>
      </c>
      <c r="O178" s="441">
        <f t="shared" si="37"/>
        <v>4.8215810018372478</v>
      </c>
    </row>
    <row r="179" spans="1:15" ht="26.25" thickBot="1">
      <c r="B179" s="66" t="s">
        <v>38</v>
      </c>
      <c r="C179" s="67" t="s">
        <v>153</v>
      </c>
      <c r="D179" s="143">
        <f t="shared" ref="D179:D184" si="38">SUM(F179:I179)</f>
        <v>0</v>
      </c>
      <c r="E179" s="144"/>
      <c r="F179" s="144"/>
      <c r="G179" s="145"/>
      <c r="H179" s="145"/>
      <c r="I179" s="146"/>
      <c r="J179" s="143">
        <f t="shared" ref="J179:J180" si="39">SUM(L179:O179)</f>
        <v>0</v>
      </c>
      <c r="K179" s="144"/>
      <c r="L179" s="144"/>
      <c r="M179" s="145"/>
      <c r="N179" s="145"/>
      <c r="O179" s="146"/>
    </row>
    <row r="180" spans="1:15" s="83" customFormat="1" ht="13.5" thickBot="1">
      <c r="B180" s="147" t="s">
        <v>52</v>
      </c>
      <c r="C180" s="148" t="s">
        <v>154</v>
      </c>
      <c r="D180" s="143">
        <f t="shared" si="38"/>
        <v>256850</v>
      </c>
      <c r="E180" s="144"/>
      <c r="F180" s="682">
        <f>F143+E143</f>
        <v>84090</v>
      </c>
      <c r="G180" s="682">
        <f>G143+G194</f>
        <v>4460</v>
      </c>
      <c r="H180" s="682">
        <f>H143+H194</f>
        <v>56030</v>
      </c>
      <c r="I180" s="683">
        <f>I143+I194</f>
        <v>112269.99999999999</v>
      </c>
      <c r="J180" s="143">
        <f t="shared" si="39"/>
        <v>236125.94500000001</v>
      </c>
      <c r="K180" s="144"/>
      <c r="L180" s="682">
        <f>L143+K143</f>
        <v>81584.900999999998</v>
      </c>
      <c r="M180" s="682">
        <f>M143+M194</f>
        <v>1830.614</v>
      </c>
      <c r="N180" s="682">
        <f>N143+N194</f>
        <v>56529.648999999998</v>
      </c>
      <c r="O180" s="683">
        <f>O143+O194</f>
        <v>96180.781000000003</v>
      </c>
    </row>
    <row r="181" spans="1:15" ht="12.75">
      <c r="B181" s="70" t="s">
        <v>54</v>
      </c>
      <c r="C181" s="71" t="s">
        <v>155</v>
      </c>
      <c r="D181" s="151">
        <f t="shared" si="38"/>
        <v>0</v>
      </c>
      <c r="E181" s="152"/>
      <c r="F181" s="152"/>
      <c r="G181" s="153"/>
      <c r="H181" s="153"/>
      <c r="I181" s="154"/>
      <c r="J181" s="151">
        <f t="shared" ref="J181:J184" si="40">SUM(L181:O181)</f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8"/>
        <v>0</v>
      </c>
      <c r="E182" s="158"/>
      <c r="F182" s="159"/>
      <c r="G182" s="159"/>
      <c r="H182" s="159"/>
      <c r="I182" s="160"/>
      <c r="J182" s="157">
        <f t="shared" si="40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8"/>
        <v>0</v>
      </c>
      <c r="E183" s="164"/>
      <c r="F183" s="164"/>
      <c r="G183" s="165"/>
      <c r="H183" s="165"/>
      <c r="I183" s="166"/>
      <c r="J183" s="163">
        <f t="shared" si="40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8"/>
        <v>0</v>
      </c>
      <c r="E184" s="111"/>
      <c r="F184" s="111"/>
      <c r="G184" s="112"/>
      <c r="H184" s="112"/>
      <c r="I184" s="113"/>
      <c r="J184" s="110">
        <f t="shared" si="40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8" spans="1:15" ht="12.75" customHeight="1">
      <c r="A188" s="832" t="s">
        <v>211</v>
      </c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239"/>
      <c r="K191" s="239"/>
      <c r="L191" s="239"/>
      <c r="M191" s="239"/>
      <c r="N191" s="239"/>
      <c r="O191" s="239"/>
    </row>
    <row r="192" spans="1:15">
      <c r="J192" s="24"/>
      <c r="K192" s="24"/>
      <c r="L192" s="24"/>
      <c r="M192" s="24"/>
      <c r="N192" s="24"/>
      <c r="O192" s="24"/>
    </row>
    <row r="194" spans="1:15">
      <c r="A194" s="523"/>
      <c r="B194" s="524"/>
      <c r="C194" s="523" t="s">
        <v>193</v>
      </c>
      <c r="D194" s="523"/>
      <c r="E194" s="523"/>
      <c r="F194" s="523"/>
      <c r="G194" s="523">
        <v>93.4</v>
      </c>
      <c r="H194" s="523">
        <v>630</v>
      </c>
      <c r="I194" s="523">
        <v>534.70000000000005</v>
      </c>
      <c r="J194" s="523"/>
      <c r="K194" s="523"/>
      <c r="L194" s="523"/>
      <c r="M194" s="523"/>
      <c r="N194" s="523">
        <v>575.77300000000002</v>
      </c>
      <c r="O194" s="736">
        <v>1099.82</v>
      </c>
    </row>
    <row r="195" spans="1:15">
      <c r="A195" s="523"/>
      <c r="B195" s="524"/>
      <c r="C195" s="523" t="s">
        <v>196</v>
      </c>
      <c r="D195" s="523"/>
      <c r="E195" s="523"/>
      <c r="F195" s="527">
        <v>10339.644052537857</v>
      </c>
      <c r="G195" s="523"/>
      <c r="H195" s="523"/>
      <c r="I195" s="523"/>
      <c r="J195" s="523"/>
      <c r="K195" s="523"/>
      <c r="L195" s="527">
        <v>10324.078290000001</v>
      </c>
      <c r="M195" s="523"/>
      <c r="N195" s="523"/>
      <c r="O195" s="523"/>
    </row>
    <row r="197" spans="1:15">
      <c r="N197" s="24"/>
      <c r="O197" s="24"/>
    </row>
    <row r="199" spans="1:15">
      <c r="L199" s="24"/>
      <c r="M199" s="24"/>
      <c r="N199" s="24"/>
      <c r="O199" s="24"/>
    </row>
  </sheetData>
  <mergeCells count="25"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  <mergeCell ref="A6:A29"/>
    <mergeCell ref="A30:A43"/>
    <mergeCell ref="I4:I5"/>
    <mergeCell ref="J4:J5"/>
    <mergeCell ref="K4:L4"/>
    <mergeCell ref="A188:O188"/>
    <mergeCell ref="D166:I166"/>
    <mergeCell ref="J166:O166"/>
    <mergeCell ref="A46:A150"/>
    <mergeCell ref="A151:A163"/>
    <mergeCell ref="B166:B167"/>
    <mergeCell ref="C166:C167"/>
  </mergeCells>
  <phoneticPr fontId="0" type="noConversion"/>
  <pageMargins left="0.86614173228346458" right="0.27559055118110237" top="0.55118110236220474" bottom="0.35433070866141736" header="0.51181102362204722" footer="0.51181102362204722"/>
  <pageSetup paperSize="9" scale="63" firstPageNumber="0" orientation="landscape" horizontalDpi="300" verticalDpi="300" r:id="rId1"/>
  <headerFooter alignWithMargins="0"/>
  <rowBreaks count="2" manualBreakCount="2">
    <brk id="64" max="14" man="1"/>
    <brk id="127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S195"/>
  <sheetViews>
    <sheetView view="pageBreakPreview" zoomScale="90" zoomScaleSheetLayoutView="90" workbookViewId="0">
      <pane xSplit="3" ySplit="5" topLeftCell="D41" activePane="bottomRight" state="frozen"/>
      <selection pane="topRight" activeCell="D1" sqref="D1"/>
      <selection pane="bottomLeft" activeCell="A63" sqref="A63"/>
      <selection pane="bottomRight" activeCell="N57" sqref="N57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.5703125" style="1" customWidth="1"/>
    <col min="6" max="6" width="11.85546875" style="1" customWidth="1"/>
    <col min="7" max="7" width="11.140625" style="1" customWidth="1"/>
    <col min="8" max="8" width="10.5703125" style="1" customWidth="1"/>
    <col min="9" max="10" width="11.85546875" style="1" customWidth="1"/>
    <col min="11" max="11" width="11.140625" style="1" customWidth="1"/>
    <col min="12" max="12" width="11.28515625" style="1" customWidth="1"/>
    <col min="13" max="14" width="10.28515625" style="1" customWidth="1"/>
    <col min="15" max="15" width="11.5703125" style="1" customWidth="1"/>
    <col min="16" max="16" width="16.140625" style="1" customWidth="1"/>
    <col min="17" max="17" width="10" style="1" customWidth="1"/>
    <col min="18" max="16384" width="9.140625" style="1"/>
  </cols>
  <sheetData>
    <row r="1" spans="1:15" ht="15.75">
      <c r="A1" s="817" t="s">
        <v>228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>
      <c r="A3" s="856"/>
      <c r="B3" s="857" t="s">
        <v>0</v>
      </c>
      <c r="C3" s="858" t="s">
        <v>1</v>
      </c>
      <c r="D3" s="867" t="s">
        <v>2</v>
      </c>
      <c r="E3" s="867"/>
      <c r="F3" s="867"/>
      <c r="G3" s="867"/>
      <c r="H3" s="867"/>
      <c r="I3" s="867"/>
      <c r="J3" s="867" t="s">
        <v>3</v>
      </c>
      <c r="K3" s="867"/>
      <c r="L3" s="867"/>
      <c r="M3" s="867"/>
      <c r="N3" s="867"/>
      <c r="O3" s="867"/>
    </row>
    <row r="4" spans="1:15" s="3" customFormat="1" ht="12.75" customHeight="1" thickTop="1" thickBot="1">
      <c r="A4" s="856"/>
      <c r="B4" s="857"/>
      <c r="C4" s="858"/>
      <c r="D4" s="865" t="s">
        <v>4</v>
      </c>
      <c r="E4" s="866" t="s">
        <v>5</v>
      </c>
      <c r="F4" s="866"/>
      <c r="G4" s="868" t="s">
        <v>6</v>
      </c>
      <c r="H4" s="868" t="s">
        <v>7</v>
      </c>
      <c r="I4" s="864" t="s">
        <v>8</v>
      </c>
      <c r="J4" s="865" t="s">
        <v>4</v>
      </c>
      <c r="K4" s="866" t="s">
        <v>5</v>
      </c>
      <c r="L4" s="866"/>
      <c r="M4" s="868" t="s">
        <v>6</v>
      </c>
      <c r="N4" s="868" t="s">
        <v>7</v>
      </c>
      <c r="O4" s="864" t="s">
        <v>8</v>
      </c>
    </row>
    <row r="5" spans="1:15" s="6" customFormat="1" ht="13.5" thickTop="1" thickBot="1">
      <c r="A5" s="856"/>
      <c r="B5" s="857"/>
      <c r="C5" s="858"/>
      <c r="D5" s="865"/>
      <c r="E5" s="4">
        <v>220</v>
      </c>
      <c r="F5" s="4">
        <v>110</v>
      </c>
      <c r="G5" s="868"/>
      <c r="H5" s="868"/>
      <c r="I5" s="864"/>
      <c r="J5" s="865"/>
      <c r="K5" s="5">
        <v>220</v>
      </c>
      <c r="L5" s="178">
        <v>110</v>
      </c>
      <c r="M5" s="868"/>
      <c r="N5" s="868"/>
      <c r="O5" s="864"/>
    </row>
    <row r="6" spans="1:15" ht="13.5" thickTop="1" thickBot="1">
      <c r="A6" s="862" t="s">
        <v>9</v>
      </c>
      <c r="B6" s="179" t="s">
        <v>10</v>
      </c>
      <c r="C6" s="179" t="s">
        <v>11</v>
      </c>
      <c r="D6" s="180">
        <f t="shared" ref="D6:O6" si="0">SUM(D7:D9,D12,D14)</f>
        <v>1138340</v>
      </c>
      <c r="E6" s="181">
        <f t="shared" si="0"/>
        <v>0</v>
      </c>
      <c r="F6" s="181">
        <f t="shared" si="0"/>
        <v>942960</v>
      </c>
      <c r="G6" s="181">
        <f t="shared" si="0"/>
        <v>118690</v>
      </c>
      <c r="H6" s="181">
        <f t="shared" si="0"/>
        <v>76660</v>
      </c>
      <c r="I6" s="181">
        <f t="shared" si="0"/>
        <v>30</v>
      </c>
      <c r="J6" s="180">
        <f t="shared" si="0"/>
        <v>1300146.8319999999</v>
      </c>
      <c r="K6" s="181">
        <f t="shared" si="0"/>
        <v>0</v>
      </c>
      <c r="L6" s="181">
        <f t="shared" si="0"/>
        <v>1116708.243</v>
      </c>
      <c r="M6" s="181">
        <f t="shared" si="0"/>
        <v>111204.961</v>
      </c>
      <c r="N6" s="181">
        <f t="shared" si="0"/>
        <v>72122.243000000002</v>
      </c>
      <c r="O6" s="181">
        <f t="shared" si="0"/>
        <v>111.38500000000001</v>
      </c>
    </row>
    <row r="7" spans="1:15" ht="13.5" thickTop="1" thickBot="1">
      <c r="A7" s="862"/>
      <c r="B7" s="182" t="s">
        <v>12</v>
      </c>
      <c r="C7" s="182" t="s">
        <v>13</v>
      </c>
      <c r="D7" s="183">
        <f>SUM(E7:I7)</f>
        <v>0</v>
      </c>
      <c r="E7" s="235"/>
      <c r="F7" s="235"/>
      <c r="G7" s="235"/>
      <c r="H7" s="235"/>
      <c r="I7" s="235"/>
      <c r="J7" s="183">
        <f>SUM(K7:O7)</f>
        <v>0</v>
      </c>
      <c r="K7" s="235"/>
      <c r="L7" s="235"/>
      <c r="M7" s="235"/>
      <c r="N7" s="235"/>
      <c r="O7" s="235"/>
    </row>
    <row r="8" spans="1:15" ht="13.5" thickTop="1" thickBot="1">
      <c r="A8" s="862"/>
      <c r="B8" s="182" t="s">
        <v>14</v>
      </c>
      <c r="C8" s="182" t="s">
        <v>15</v>
      </c>
      <c r="D8" s="183">
        <f>SUM(E8:I8)</f>
        <v>568707</v>
      </c>
      <c r="E8" s="184">
        <f>июль!E8+август!E8+сентябрь!E8</f>
        <v>0</v>
      </c>
      <c r="F8" s="184">
        <f>июль!F8+август!F8+сентябрь!F8</f>
        <v>467737</v>
      </c>
      <c r="G8" s="184">
        <f>июль!G8+август!G8+сентябрь!G8</f>
        <v>34870</v>
      </c>
      <c r="H8" s="184">
        <f>июль!H8+август!H8+сентябрь!H8</f>
        <v>66070</v>
      </c>
      <c r="I8" s="184">
        <f>июль!I8+август!I8+сентябрь!I8</f>
        <v>30</v>
      </c>
      <c r="J8" s="183">
        <f>SUM(K8:O8)</f>
        <v>512869.598</v>
      </c>
      <c r="K8" s="184">
        <f>июль!K8+август!K8+сентябрь!K8</f>
        <v>0</v>
      </c>
      <c r="L8" s="184">
        <f>июль!L8+август!L8+сентябрь!L8</f>
        <v>414160.07</v>
      </c>
      <c r="M8" s="184">
        <f>июль!M8+август!M8+сентябрь!M8</f>
        <v>35037.275999999998</v>
      </c>
      <c r="N8" s="184">
        <f>июль!N8+август!N8+сентябрь!N8</f>
        <v>63560.866999999998</v>
      </c>
      <c r="O8" s="184">
        <f>июль!O8+август!O8+сентябрь!O8</f>
        <v>111.38500000000001</v>
      </c>
    </row>
    <row r="9" spans="1:15" ht="13.5" thickTop="1" thickBot="1">
      <c r="A9" s="862"/>
      <c r="B9" s="182" t="s">
        <v>16</v>
      </c>
      <c r="C9" s="182" t="s">
        <v>17</v>
      </c>
      <c r="D9" s="183">
        <f t="shared" ref="D9:O9" si="1">SUM(D10:D11)</f>
        <v>42130</v>
      </c>
      <c r="E9" s="185">
        <f t="shared" si="1"/>
        <v>0</v>
      </c>
      <c r="F9" s="185">
        <f t="shared" si="1"/>
        <v>42130</v>
      </c>
      <c r="G9" s="185">
        <f t="shared" si="1"/>
        <v>0</v>
      </c>
      <c r="H9" s="185">
        <f t="shared" si="1"/>
        <v>0</v>
      </c>
      <c r="I9" s="185">
        <f t="shared" si="1"/>
        <v>0</v>
      </c>
      <c r="J9" s="183">
        <f t="shared" si="1"/>
        <v>9733.1029999999992</v>
      </c>
      <c r="K9" s="185">
        <f t="shared" si="1"/>
        <v>0</v>
      </c>
      <c r="L9" s="185">
        <f t="shared" si="1"/>
        <v>9733.1029999999992</v>
      </c>
      <c r="M9" s="185">
        <f t="shared" si="1"/>
        <v>0</v>
      </c>
      <c r="N9" s="185">
        <f t="shared" si="1"/>
        <v>0</v>
      </c>
      <c r="O9" s="185">
        <f t="shared" si="1"/>
        <v>0</v>
      </c>
    </row>
    <row r="10" spans="1:15" ht="13.5" thickTop="1" thickBot="1">
      <c r="A10" s="862"/>
      <c r="B10" s="186" t="s">
        <v>18</v>
      </c>
      <c r="C10" s="187" t="s">
        <v>192</v>
      </c>
      <c r="D10" s="188">
        <f>SUM(F10:I10)</f>
        <v>34920</v>
      </c>
      <c r="E10" s="235"/>
      <c r="F10" s="184">
        <f>июль!F10+август!F10+сентябрь!F10</f>
        <v>34920</v>
      </c>
      <c r="G10" s="235"/>
      <c r="H10" s="235"/>
      <c r="I10" s="235"/>
      <c r="J10" s="188">
        <f>SUM(L10:O10)</f>
        <v>6698.4229999999998</v>
      </c>
      <c r="K10" s="235"/>
      <c r="L10" s="184">
        <f>июль!L10+август!L10+сентябрь!L10</f>
        <v>6698.4229999999998</v>
      </c>
      <c r="M10" s="235"/>
      <c r="N10" s="235"/>
      <c r="O10" s="235"/>
    </row>
    <row r="11" spans="1:15" ht="13.5" thickTop="1" thickBot="1">
      <c r="A11" s="862"/>
      <c r="B11" s="186" t="s">
        <v>19</v>
      </c>
      <c r="C11" s="187" t="s">
        <v>191</v>
      </c>
      <c r="D11" s="188">
        <f>SUM(F11:I11)</f>
        <v>7210</v>
      </c>
      <c r="E11" s="235"/>
      <c r="F11" s="184">
        <f>июль!F11+август!F11+сентябрь!F11</f>
        <v>7210</v>
      </c>
      <c r="G11" s="235"/>
      <c r="H11" s="235"/>
      <c r="I11" s="235"/>
      <c r="J11" s="188">
        <f>SUM(L11:O11)</f>
        <v>3034.6800000000003</v>
      </c>
      <c r="K11" s="235"/>
      <c r="L11" s="184">
        <f>июль!L11+август!L11+сентябрь!L11</f>
        <v>3034.6800000000003</v>
      </c>
      <c r="M11" s="235"/>
      <c r="N11" s="235"/>
      <c r="O11" s="235"/>
    </row>
    <row r="12" spans="1:15" ht="13.5" thickTop="1" thickBot="1">
      <c r="A12" s="862"/>
      <c r="B12" s="182" t="s">
        <v>20</v>
      </c>
      <c r="C12" s="182" t="s">
        <v>21</v>
      </c>
      <c r="D12" s="183">
        <f>SUM(E12:I12)</f>
        <v>527503</v>
      </c>
      <c r="E12" s="235"/>
      <c r="F12" s="184">
        <f>июль!F12+август!F12+сентябрь!F12</f>
        <v>433093</v>
      </c>
      <c r="G12" s="184">
        <f>июль!G12+август!G12+сентябрь!G12</f>
        <v>83820</v>
      </c>
      <c r="H12" s="184">
        <f>июль!H12+август!H12+сентябрь!H12</f>
        <v>10590</v>
      </c>
      <c r="I12" s="235">
        <v>0</v>
      </c>
      <c r="J12" s="183">
        <f>SUM(K12:O12)</f>
        <v>777544.13099999994</v>
      </c>
      <c r="K12" s="235"/>
      <c r="L12" s="184">
        <f>июль!L12+август!L12+сентябрь!L12</f>
        <v>692815.07</v>
      </c>
      <c r="M12" s="184">
        <f>июль!M12+август!M12+сентябрь!M12</f>
        <v>76167.684999999998</v>
      </c>
      <c r="N12" s="184">
        <f>июль!N12+август!N12+сентябрь!N12</f>
        <v>8561.3760000000002</v>
      </c>
      <c r="O12" s="235"/>
    </row>
    <row r="13" spans="1:15" ht="13.5" thickTop="1" thickBot="1">
      <c r="A13" s="862"/>
      <c r="B13" s="186" t="s">
        <v>22</v>
      </c>
      <c r="C13" s="187" t="s">
        <v>23</v>
      </c>
      <c r="D13" s="183">
        <f>SUM(E13:I13)</f>
        <v>0</v>
      </c>
      <c r="E13" s="235"/>
      <c r="F13" s="235"/>
      <c r="G13" s="235"/>
      <c r="H13" s="235"/>
      <c r="I13" s="235">
        <v>0</v>
      </c>
      <c r="J13" s="183">
        <f>SUM(K13:O13)</f>
        <v>0</v>
      </c>
      <c r="K13" s="235"/>
      <c r="L13" s="235"/>
      <c r="M13" s="235"/>
      <c r="N13" s="235"/>
      <c r="O13" s="235"/>
    </row>
    <row r="14" spans="1:15" ht="13.5" thickTop="1" thickBot="1">
      <c r="A14" s="862"/>
      <c r="B14" s="182" t="s">
        <v>24</v>
      </c>
      <c r="C14" s="182" t="s">
        <v>25</v>
      </c>
      <c r="D14" s="183">
        <f>SUM(E14:I14)</f>
        <v>0</v>
      </c>
      <c r="E14" s="235"/>
      <c r="F14" s="235"/>
      <c r="G14" s="184">
        <f>июль!G14+август!G14+сентябрь!G14</f>
        <v>0</v>
      </c>
      <c r="H14" s="235"/>
      <c r="I14" s="235">
        <v>0</v>
      </c>
      <c r="J14" s="183">
        <f>SUM(K14:O14)</f>
        <v>0</v>
      </c>
      <c r="K14" s="235"/>
      <c r="L14" s="235"/>
      <c r="M14" s="184">
        <f>июль!M14+август!M14+сентябрь!M14</f>
        <v>0</v>
      </c>
      <c r="N14" s="235"/>
      <c r="O14" s="235"/>
    </row>
    <row r="15" spans="1:15" ht="13.5" thickTop="1" thickBot="1">
      <c r="A15" s="862"/>
      <c r="B15" s="179" t="s">
        <v>26</v>
      </c>
      <c r="C15" s="179" t="s">
        <v>27</v>
      </c>
      <c r="D15" s="180">
        <f t="shared" ref="D15:O15" si="2">SUM(D16:D18,D21)</f>
        <v>185390</v>
      </c>
      <c r="E15" s="189">
        <f t="shared" si="2"/>
        <v>0</v>
      </c>
      <c r="F15" s="189">
        <f t="shared" si="2"/>
        <v>182840</v>
      </c>
      <c r="G15" s="189">
        <f t="shared" si="2"/>
        <v>2520</v>
      </c>
      <c r="H15" s="189">
        <f t="shared" si="2"/>
        <v>10</v>
      </c>
      <c r="I15" s="189">
        <f t="shared" si="2"/>
        <v>20</v>
      </c>
      <c r="J15" s="180">
        <f t="shared" si="2"/>
        <v>439737.62899999996</v>
      </c>
      <c r="K15" s="189">
        <f t="shared" si="2"/>
        <v>0</v>
      </c>
      <c r="L15" s="189">
        <f t="shared" si="2"/>
        <v>437759.29499999998</v>
      </c>
      <c r="M15" s="189">
        <f t="shared" si="2"/>
        <v>1945.8119999999999</v>
      </c>
      <c r="N15" s="189">
        <f t="shared" si="2"/>
        <v>16.151</v>
      </c>
      <c r="O15" s="189">
        <f t="shared" si="2"/>
        <v>16.371000000000002</v>
      </c>
    </row>
    <row r="16" spans="1:15" ht="13.5" thickTop="1" thickBot="1">
      <c r="A16" s="862"/>
      <c r="B16" s="182" t="s">
        <v>28</v>
      </c>
      <c r="C16" s="182" t="s">
        <v>29</v>
      </c>
      <c r="D16" s="183">
        <f>SUM(E16:I16)</f>
        <v>0</v>
      </c>
      <c r="E16" s="235"/>
      <c r="F16" s="235"/>
      <c r="G16" s="235"/>
      <c r="H16" s="235"/>
      <c r="I16" s="235">
        <v>0</v>
      </c>
      <c r="J16" s="183">
        <f>SUM(K16:O16)</f>
        <v>0</v>
      </c>
      <c r="K16" s="235"/>
      <c r="L16" s="235"/>
      <c r="M16" s="235"/>
      <c r="N16" s="235"/>
      <c r="O16" s="235"/>
    </row>
    <row r="17" spans="1:15" ht="13.5" thickTop="1" thickBot="1">
      <c r="A17" s="862"/>
      <c r="B17" s="182" t="s">
        <v>30</v>
      </c>
      <c r="C17" s="182" t="s">
        <v>31</v>
      </c>
      <c r="D17" s="183">
        <f>SUM(E17:I17)</f>
        <v>151370</v>
      </c>
      <c r="E17" s="184">
        <f>июль!E17+август!E17+сентябрь!E17</f>
        <v>0</v>
      </c>
      <c r="F17" s="184">
        <f>июль!F17+август!F17+сентябрь!F17</f>
        <v>151340</v>
      </c>
      <c r="G17" s="184">
        <f>июль!G17+август!G17+сентябрь!G17</f>
        <v>0</v>
      </c>
      <c r="H17" s="184">
        <f>июль!H17+август!H17+сентябрь!H17</f>
        <v>10</v>
      </c>
      <c r="I17" s="184">
        <f>июль!I17+август!I17+сентябрь!I17</f>
        <v>20</v>
      </c>
      <c r="J17" s="183">
        <f>SUM(K17:O17)</f>
        <v>391783.76899999997</v>
      </c>
      <c r="K17" s="184">
        <f>июль!K17+август!K17+сентябрь!K17</f>
        <v>0</v>
      </c>
      <c r="L17" s="184">
        <f>июль!L17+август!L17+сентябрь!L17</f>
        <v>391750.02899999998</v>
      </c>
      <c r="M17" s="184">
        <f>июль!M17+август!M17+сентябрь!M17</f>
        <v>1.218</v>
      </c>
      <c r="N17" s="184">
        <f>июль!N17+август!N17+сентябрь!N17</f>
        <v>16.151</v>
      </c>
      <c r="O17" s="184">
        <f>июль!O17+август!O17+сентябрь!O17</f>
        <v>16.371000000000002</v>
      </c>
    </row>
    <row r="18" spans="1:15" ht="13.5" thickTop="1" thickBot="1">
      <c r="A18" s="862"/>
      <c r="B18" s="182" t="s">
        <v>32</v>
      </c>
      <c r="C18" s="182" t="s">
        <v>33</v>
      </c>
      <c r="D18" s="183">
        <f t="shared" ref="D18:O18" si="3">SUM(D19:D20)</f>
        <v>15330</v>
      </c>
      <c r="E18" s="185">
        <f t="shared" si="3"/>
        <v>0</v>
      </c>
      <c r="F18" s="185">
        <f t="shared" si="3"/>
        <v>14590</v>
      </c>
      <c r="G18" s="185">
        <f t="shared" si="3"/>
        <v>740</v>
      </c>
      <c r="H18" s="185">
        <f t="shared" si="3"/>
        <v>0</v>
      </c>
      <c r="I18" s="185">
        <f t="shared" si="3"/>
        <v>0</v>
      </c>
      <c r="J18" s="183">
        <f t="shared" si="3"/>
        <v>20249.260000000002</v>
      </c>
      <c r="K18" s="185">
        <f t="shared" si="3"/>
        <v>0</v>
      </c>
      <c r="L18" s="185">
        <f t="shared" si="3"/>
        <v>19675.402999999998</v>
      </c>
      <c r="M18" s="185">
        <f t="shared" si="3"/>
        <v>573.85699999999997</v>
      </c>
      <c r="N18" s="185">
        <f t="shared" si="3"/>
        <v>0</v>
      </c>
      <c r="O18" s="185">
        <f t="shared" si="3"/>
        <v>0</v>
      </c>
    </row>
    <row r="19" spans="1:15" ht="13.5" thickTop="1" thickBot="1">
      <c r="A19" s="862"/>
      <c r="B19" s="186" t="s">
        <v>34</v>
      </c>
      <c r="C19" s="187" t="s">
        <v>192</v>
      </c>
      <c r="D19" s="188">
        <f t="shared" ref="D19:D29" si="4">SUM(E19:I19)</f>
        <v>2420</v>
      </c>
      <c r="E19" s="235"/>
      <c r="F19" s="184">
        <f>июль!F19+август!F19+сентябрь!F19</f>
        <v>2420</v>
      </c>
      <c r="G19" s="235"/>
      <c r="H19" s="235"/>
      <c r="I19" s="235">
        <v>0</v>
      </c>
      <c r="J19" s="188">
        <f t="shared" ref="J19:J29" si="5">SUM(K19:O19)</f>
        <v>13225.751</v>
      </c>
      <c r="K19" s="235"/>
      <c r="L19" s="184">
        <f>июль!L19+август!L19+сентябрь!L19</f>
        <v>13225.751</v>
      </c>
      <c r="M19" s="235"/>
      <c r="N19" s="235"/>
      <c r="O19" s="235"/>
    </row>
    <row r="20" spans="1:15" ht="13.5" thickTop="1" thickBot="1">
      <c r="A20" s="862"/>
      <c r="B20" s="190" t="s">
        <v>35</v>
      </c>
      <c r="C20" s="187" t="s">
        <v>191</v>
      </c>
      <c r="D20" s="188">
        <f t="shared" si="4"/>
        <v>12910</v>
      </c>
      <c r="E20" s="235"/>
      <c r="F20" s="184">
        <f>июль!F20+август!F20+сентябрь!F20</f>
        <v>12170</v>
      </c>
      <c r="G20" s="184">
        <f>июль!G20+август!G20+сентябрь!G20</f>
        <v>740</v>
      </c>
      <c r="H20" s="235"/>
      <c r="I20" s="235">
        <v>0</v>
      </c>
      <c r="J20" s="188">
        <f t="shared" si="5"/>
        <v>7023.509</v>
      </c>
      <c r="K20" s="235"/>
      <c r="L20" s="184">
        <f>июль!L20+август!L20+сентябрь!L20</f>
        <v>6449.652</v>
      </c>
      <c r="M20" s="184">
        <f>июль!M20+август!M20+сентябрь!M20</f>
        <v>573.85699999999997</v>
      </c>
      <c r="N20" s="235"/>
      <c r="O20" s="235"/>
    </row>
    <row r="21" spans="1:15" ht="13.5" thickTop="1" thickBot="1">
      <c r="A21" s="862"/>
      <c r="B21" s="182" t="s">
        <v>36</v>
      </c>
      <c r="C21" s="182" t="s">
        <v>37</v>
      </c>
      <c r="D21" s="183">
        <f t="shared" si="4"/>
        <v>18690</v>
      </c>
      <c r="E21" s="235"/>
      <c r="F21" s="184">
        <f>июль!F21+август!F21+сентябрь!F21</f>
        <v>16910</v>
      </c>
      <c r="G21" s="184">
        <f>июль!G21+август!G21+сентябрь!G21</f>
        <v>1780</v>
      </c>
      <c r="H21" s="235"/>
      <c r="I21" s="235">
        <v>0</v>
      </c>
      <c r="J21" s="183">
        <f t="shared" si="5"/>
        <v>27704.6</v>
      </c>
      <c r="K21" s="235"/>
      <c r="L21" s="184">
        <f>июль!L21+август!L21+сентябрь!L21</f>
        <v>26333.862999999998</v>
      </c>
      <c r="M21" s="184">
        <f>июль!M21+август!M21+сентябрь!M21</f>
        <v>1370.7370000000001</v>
      </c>
      <c r="N21" s="235"/>
      <c r="O21" s="235"/>
    </row>
    <row r="22" spans="1:15" s="17" customFormat="1" ht="13.5" thickTop="1" thickBot="1">
      <c r="A22" s="862"/>
      <c r="B22" s="232" t="s">
        <v>38</v>
      </c>
      <c r="C22" s="232" t="s">
        <v>39</v>
      </c>
      <c r="D22" s="192">
        <f t="shared" si="4"/>
        <v>952950</v>
      </c>
      <c r="E22" s="192">
        <f>SUM(E23:E25,E28,E29)</f>
        <v>0</v>
      </c>
      <c r="F22" s="192">
        <f>SUM(F23:F25,F28,F29)</f>
        <v>760120</v>
      </c>
      <c r="G22" s="192">
        <f>SUM(G23:G25,G28,G29)</f>
        <v>116170</v>
      </c>
      <c r="H22" s="192">
        <f>SUM(H23:H25,H28,H29)</f>
        <v>76650</v>
      </c>
      <c r="I22" s="192">
        <f>SUM(I23:I25,I28,I29)</f>
        <v>10</v>
      </c>
      <c r="J22" s="192">
        <f t="shared" si="5"/>
        <v>860409.20299999998</v>
      </c>
      <c r="K22" s="192">
        <f>SUM(K23:K25,K28,K29)</f>
        <v>0</v>
      </c>
      <c r="L22" s="192">
        <f>SUM(L23:L25,L28,L29)</f>
        <v>678948.94799999997</v>
      </c>
      <c r="M22" s="192">
        <f>SUM(M23:M25,M28,M29)</f>
        <v>109259.149</v>
      </c>
      <c r="N22" s="192">
        <f>SUM(N23:N25,N28,N29)</f>
        <v>72106.092000000004</v>
      </c>
      <c r="O22" s="192">
        <f>SUM(O23:O25,O28,O29)</f>
        <v>95.01400000000001</v>
      </c>
    </row>
    <row r="23" spans="1:15" ht="13.5" thickTop="1" thickBot="1">
      <c r="A23" s="862"/>
      <c r="B23" s="182" t="s">
        <v>40</v>
      </c>
      <c r="C23" s="182" t="s">
        <v>41</v>
      </c>
      <c r="D23" s="183">
        <f t="shared" si="4"/>
        <v>0</v>
      </c>
      <c r="E23" s="183">
        <f t="shared" ref="E23:I28" si="6">E7-E16</f>
        <v>0</v>
      </c>
      <c r="F23" s="183">
        <f t="shared" si="6"/>
        <v>0</v>
      </c>
      <c r="G23" s="183">
        <f t="shared" si="6"/>
        <v>0</v>
      </c>
      <c r="H23" s="183">
        <f t="shared" si="6"/>
        <v>0</v>
      </c>
      <c r="I23" s="183">
        <f t="shared" si="6"/>
        <v>0</v>
      </c>
      <c r="J23" s="183">
        <f t="shared" si="5"/>
        <v>0</v>
      </c>
      <c r="K23" s="183">
        <f t="shared" ref="K23:O28" si="7">K7-K16</f>
        <v>0</v>
      </c>
      <c r="L23" s="183">
        <f t="shared" si="7"/>
        <v>0</v>
      </c>
      <c r="M23" s="183">
        <f t="shared" si="7"/>
        <v>0</v>
      </c>
      <c r="N23" s="183">
        <f t="shared" si="7"/>
        <v>0</v>
      </c>
      <c r="O23" s="183">
        <f t="shared" si="7"/>
        <v>0</v>
      </c>
    </row>
    <row r="24" spans="1:15" ht="13.5" thickTop="1" thickBot="1">
      <c r="A24" s="862"/>
      <c r="B24" s="182" t="s">
        <v>42</v>
      </c>
      <c r="C24" s="182" t="s">
        <v>43</v>
      </c>
      <c r="D24" s="183">
        <f t="shared" si="4"/>
        <v>417337</v>
      </c>
      <c r="E24" s="183">
        <f t="shared" si="6"/>
        <v>0</v>
      </c>
      <c r="F24" s="183">
        <f t="shared" si="6"/>
        <v>316397</v>
      </c>
      <c r="G24" s="183">
        <f t="shared" si="6"/>
        <v>34870</v>
      </c>
      <c r="H24" s="183">
        <f t="shared" si="6"/>
        <v>66060</v>
      </c>
      <c r="I24" s="183">
        <f t="shared" si="6"/>
        <v>10</v>
      </c>
      <c r="J24" s="183">
        <f t="shared" si="5"/>
        <v>121085.82900000003</v>
      </c>
      <c r="K24" s="183">
        <f t="shared" si="7"/>
        <v>0</v>
      </c>
      <c r="L24" s="183">
        <f t="shared" si="7"/>
        <v>22410.041000000027</v>
      </c>
      <c r="M24" s="183">
        <f t="shared" si="7"/>
        <v>35036.057999999997</v>
      </c>
      <c r="N24" s="183">
        <f t="shared" si="7"/>
        <v>63544.716</v>
      </c>
      <c r="O24" s="183">
        <f t="shared" si="7"/>
        <v>95.01400000000001</v>
      </c>
    </row>
    <row r="25" spans="1:15" ht="13.5" thickTop="1" thickBot="1">
      <c r="A25" s="862"/>
      <c r="B25" s="182" t="s">
        <v>44</v>
      </c>
      <c r="C25" s="182" t="s">
        <v>45</v>
      </c>
      <c r="D25" s="183">
        <f t="shared" si="4"/>
        <v>26800</v>
      </c>
      <c r="E25" s="183">
        <f t="shared" si="6"/>
        <v>0</v>
      </c>
      <c r="F25" s="183">
        <f t="shared" si="6"/>
        <v>27540</v>
      </c>
      <c r="G25" s="183">
        <f t="shared" si="6"/>
        <v>-740</v>
      </c>
      <c r="H25" s="183">
        <f t="shared" si="6"/>
        <v>0</v>
      </c>
      <c r="I25" s="183">
        <f t="shared" si="6"/>
        <v>0</v>
      </c>
      <c r="J25" s="183">
        <f t="shared" si="5"/>
        <v>-10516.156999999999</v>
      </c>
      <c r="K25" s="183">
        <f t="shared" si="7"/>
        <v>0</v>
      </c>
      <c r="L25" s="183">
        <f t="shared" si="7"/>
        <v>-9942.2999999999993</v>
      </c>
      <c r="M25" s="183">
        <f t="shared" si="7"/>
        <v>-573.85699999999997</v>
      </c>
      <c r="N25" s="183">
        <f t="shared" si="7"/>
        <v>0</v>
      </c>
      <c r="O25" s="183">
        <f t="shared" si="7"/>
        <v>0</v>
      </c>
    </row>
    <row r="26" spans="1:15" ht="13.5" thickTop="1" thickBot="1">
      <c r="A26" s="862"/>
      <c r="B26" s="186" t="s">
        <v>46</v>
      </c>
      <c r="C26" s="187" t="s">
        <v>192</v>
      </c>
      <c r="D26" s="183">
        <f t="shared" si="4"/>
        <v>32500</v>
      </c>
      <c r="E26" s="188">
        <f t="shared" si="6"/>
        <v>0</v>
      </c>
      <c r="F26" s="188">
        <f t="shared" si="6"/>
        <v>32500</v>
      </c>
      <c r="G26" s="188">
        <f t="shared" si="6"/>
        <v>0</v>
      </c>
      <c r="H26" s="188">
        <f t="shared" si="6"/>
        <v>0</v>
      </c>
      <c r="I26" s="188">
        <f t="shared" si="6"/>
        <v>0</v>
      </c>
      <c r="J26" s="183">
        <f t="shared" si="5"/>
        <v>-6527.3280000000004</v>
      </c>
      <c r="K26" s="188">
        <f t="shared" si="7"/>
        <v>0</v>
      </c>
      <c r="L26" s="188">
        <f t="shared" si="7"/>
        <v>-6527.3280000000004</v>
      </c>
      <c r="M26" s="188">
        <f t="shared" si="7"/>
        <v>0</v>
      </c>
      <c r="N26" s="188">
        <f t="shared" si="7"/>
        <v>0</v>
      </c>
      <c r="O26" s="188">
        <f t="shared" si="7"/>
        <v>0</v>
      </c>
    </row>
    <row r="27" spans="1:15" ht="13.5" thickTop="1" thickBot="1">
      <c r="A27" s="862"/>
      <c r="B27" s="186" t="s">
        <v>47</v>
      </c>
      <c r="C27" s="187" t="s">
        <v>191</v>
      </c>
      <c r="D27" s="183">
        <f t="shared" si="4"/>
        <v>-5700</v>
      </c>
      <c r="E27" s="188">
        <f t="shared" si="6"/>
        <v>0</v>
      </c>
      <c r="F27" s="188">
        <f t="shared" si="6"/>
        <v>-4960</v>
      </c>
      <c r="G27" s="188">
        <f t="shared" si="6"/>
        <v>-740</v>
      </c>
      <c r="H27" s="188">
        <f t="shared" si="6"/>
        <v>0</v>
      </c>
      <c r="I27" s="188">
        <f t="shared" si="6"/>
        <v>0</v>
      </c>
      <c r="J27" s="183">
        <f t="shared" si="5"/>
        <v>-3988.8289999999997</v>
      </c>
      <c r="K27" s="188">
        <f t="shared" si="7"/>
        <v>0</v>
      </c>
      <c r="L27" s="188">
        <f t="shared" si="7"/>
        <v>-3414.9719999999998</v>
      </c>
      <c r="M27" s="188">
        <f t="shared" si="7"/>
        <v>-573.85699999999997</v>
      </c>
      <c r="N27" s="188">
        <f t="shared" si="7"/>
        <v>0</v>
      </c>
      <c r="O27" s="188">
        <f t="shared" si="7"/>
        <v>0</v>
      </c>
    </row>
    <row r="28" spans="1:15" ht="13.5" thickTop="1" thickBot="1">
      <c r="A28" s="862"/>
      <c r="B28" s="182" t="s">
        <v>48</v>
      </c>
      <c r="C28" s="182" t="s">
        <v>49</v>
      </c>
      <c r="D28" s="183">
        <f t="shared" si="4"/>
        <v>508813</v>
      </c>
      <c r="E28" s="183">
        <f t="shared" si="6"/>
        <v>0</v>
      </c>
      <c r="F28" s="183">
        <f t="shared" si="6"/>
        <v>416183</v>
      </c>
      <c r="G28" s="183">
        <f t="shared" si="6"/>
        <v>82040</v>
      </c>
      <c r="H28" s="183">
        <f t="shared" si="6"/>
        <v>10590</v>
      </c>
      <c r="I28" s="183">
        <f t="shared" si="6"/>
        <v>0</v>
      </c>
      <c r="J28" s="183">
        <f t="shared" si="5"/>
        <v>749839.53099999996</v>
      </c>
      <c r="K28" s="183">
        <f t="shared" si="7"/>
        <v>0</v>
      </c>
      <c r="L28" s="183">
        <f t="shared" si="7"/>
        <v>666481.20699999994</v>
      </c>
      <c r="M28" s="183">
        <f t="shared" si="7"/>
        <v>74796.948000000004</v>
      </c>
      <c r="N28" s="183">
        <f t="shared" si="7"/>
        <v>8561.3760000000002</v>
      </c>
      <c r="O28" s="183">
        <f t="shared" si="7"/>
        <v>0</v>
      </c>
    </row>
    <row r="29" spans="1:15" ht="13.5" thickTop="1" thickBot="1">
      <c r="A29" s="862"/>
      <c r="B29" s="182" t="s">
        <v>50</v>
      </c>
      <c r="C29" s="182" t="s">
        <v>25</v>
      </c>
      <c r="D29" s="183">
        <f t="shared" si="4"/>
        <v>0</v>
      </c>
      <c r="E29" s="183">
        <f>E14</f>
        <v>0</v>
      </c>
      <c r="F29" s="183">
        <f>F14</f>
        <v>0</v>
      </c>
      <c r="G29" s="183">
        <f>G14</f>
        <v>0</v>
      </c>
      <c r="H29" s="183">
        <f>H14</f>
        <v>0</v>
      </c>
      <c r="I29" s="183">
        <f>I14</f>
        <v>0</v>
      </c>
      <c r="J29" s="183">
        <f t="shared" si="5"/>
        <v>0</v>
      </c>
      <c r="K29" s="183">
        <f>K14</f>
        <v>0</v>
      </c>
      <c r="L29" s="183">
        <f>L14</f>
        <v>0</v>
      </c>
      <c r="M29" s="183">
        <f>M14</f>
        <v>0</v>
      </c>
      <c r="N29" s="183">
        <f>N14</f>
        <v>0</v>
      </c>
      <c r="O29" s="183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180">
        <f>SUM(F30:I30)</f>
        <v>1219350</v>
      </c>
      <c r="E30" s="180"/>
      <c r="F30" s="180">
        <f>SUM(F31:F33)</f>
        <v>0</v>
      </c>
      <c r="G30" s="180">
        <f>SUM(G31:G33)</f>
        <v>160020</v>
      </c>
      <c r="H30" s="180">
        <f>SUM(H31:H33)</f>
        <v>633320</v>
      </c>
      <c r="I30" s="180">
        <f>SUM(I31:I33)</f>
        <v>426010</v>
      </c>
      <c r="J30" s="180">
        <f>SUM(L30:O30)</f>
        <v>1032544.4358300001</v>
      </c>
      <c r="K30" s="180"/>
      <c r="L30" s="180">
        <f>SUM(L31:L33)</f>
        <v>0</v>
      </c>
      <c r="M30" s="180">
        <f>SUM(M31:M33)</f>
        <v>105540.86590499998</v>
      </c>
      <c r="N30" s="180">
        <f>SUM(N31:N33)</f>
        <v>562819.68992500007</v>
      </c>
      <c r="O30" s="180">
        <f>SUM(O31:O33)</f>
        <v>364183.88</v>
      </c>
    </row>
    <row r="31" spans="1:15" ht="13.5" thickTop="1" thickBot="1">
      <c r="A31" s="862"/>
      <c r="B31" s="182" t="s">
        <v>54</v>
      </c>
      <c r="C31" s="182" t="s">
        <v>55</v>
      </c>
      <c r="D31" s="183">
        <f t="shared" ref="D31:D43" si="8">SUM(E31:I31)</f>
        <v>533400</v>
      </c>
      <c r="E31" s="195"/>
      <c r="F31" s="235"/>
      <c r="G31" s="184">
        <f>июль!G31+август!G31+сентябрь!G31</f>
        <v>160020</v>
      </c>
      <c r="H31" s="184">
        <f>июль!H31+август!H31+сентябрь!H31</f>
        <v>373380</v>
      </c>
      <c r="I31" s="195"/>
      <c r="J31" s="183">
        <f t="shared" ref="J31:J43" si="9">SUM(K31:O31)</f>
        <v>460313.67192500003</v>
      </c>
      <c r="K31" s="195"/>
      <c r="L31" s="196"/>
      <c r="M31" s="183">
        <f>L36</f>
        <v>105540.86590499998</v>
      </c>
      <c r="N31" s="183">
        <f>L37</f>
        <v>354772.80602000002</v>
      </c>
      <c r="O31" s="195"/>
    </row>
    <row r="32" spans="1:15" ht="13.5" thickTop="1" thickBot="1">
      <c r="A32" s="862"/>
      <c r="B32" s="182" t="s">
        <v>56</v>
      </c>
      <c r="C32" s="182" t="s">
        <v>57</v>
      </c>
      <c r="D32" s="183">
        <f t="shared" si="8"/>
        <v>259940</v>
      </c>
      <c r="E32" s="195"/>
      <c r="F32" s="195"/>
      <c r="G32" s="195"/>
      <c r="H32" s="184">
        <f>июль!H32+август!H32+сентябрь!H32</f>
        <v>259940</v>
      </c>
      <c r="I32" s="235"/>
      <c r="J32" s="183">
        <f t="shared" si="9"/>
        <v>208046.883905</v>
      </c>
      <c r="K32" s="195"/>
      <c r="L32" s="195"/>
      <c r="M32" s="195"/>
      <c r="N32" s="183">
        <f>M37</f>
        <v>208046.883905</v>
      </c>
      <c r="O32" s="196">
        <f>M43</f>
        <v>0</v>
      </c>
    </row>
    <row r="33" spans="1:17" ht="13.5" thickTop="1" thickBot="1">
      <c r="A33" s="862"/>
      <c r="B33" s="182" t="s">
        <v>58</v>
      </c>
      <c r="C33" s="182" t="s">
        <v>59</v>
      </c>
      <c r="D33" s="183">
        <f t="shared" si="8"/>
        <v>426010</v>
      </c>
      <c r="E33" s="195"/>
      <c r="F33" s="195"/>
      <c r="G33" s="195"/>
      <c r="H33" s="195"/>
      <c r="I33" s="184">
        <f>июль!I33+август!I33+сентябрь!I33</f>
        <v>426010</v>
      </c>
      <c r="J33" s="183">
        <f t="shared" si="9"/>
        <v>364183.88</v>
      </c>
      <c r="K33" s="195"/>
      <c r="L33" s="195"/>
      <c r="M33" s="195"/>
      <c r="N33" s="195"/>
      <c r="O33" s="183">
        <f>M38+N38</f>
        <v>364183.88</v>
      </c>
    </row>
    <row r="34" spans="1:17" ht="13.5" thickTop="1" thickBot="1">
      <c r="A34" s="862"/>
      <c r="B34" s="179" t="s">
        <v>60</v>
      </c>
      <c r="C34" s="179" t="s">
        <v>61</v>
      </c>
      <c r="D34" s="180">
        <f t="shared" si="8"/>
        <v>1219350</v>
      </c>
      <c r="E34" s="180"/>
      <c r="F34" s="180">
        <f>SUM(F35:F38)</f>
        <v>533400</v>
      </c>
      <c r="G34" s="180">
        <f>SUM(G35:G38)</f>
        <v>259940</v>
      </c>
      <c r="H34" s="180">
        <f>SUM(H35:H38)</f>
        <v>426010</v>
      </c>
      <c r="I34" s="181">
        <f>SUM(I35:I38)</f>
        <v>0</v>
      </c>
      <c r="J34" s="180">
        <f t="shared" si="9"/>
        <v>1032544.43583</v>
      </c>
      <c r="K34" s="180"/>
      <c r="L34" s="180">
        <f>SUM(L35:L38)</f>
        <v>460313.67192500003</v>
      </c>
      <c r="M34" s="180">
        <f>SUM(M35:M38)</f>
        <v>208046.883905</v>
      </c>
      <c r="N34" s="180">
        <f>SUM(N35:N38)</f>
        <v>364183.88</v>
      </c>
      <c r="O34" s="181">
        <f>SUM(O35:O38)</f>
        <v>0</v>
      </c>
    </row>
    <row r="35" spans="1:17" ht="13.5" thickTop="1" thickBot="1">
      <c r="A35" s="862"/>
      <c r="B35" s="182" t="s">
        <v>62</v>
      </c>
      <c r="C35" s="182" t="s">
        <v>63</v>
      </c>
      <c r="D35" s="183">
        <f t="shared" si="8"/>
        <v>0</v>
      </c>
      <c r="E35" s="196"/>
      <c r="F35" s="195"/>
      <c r="G35" s="195"/>
      <c r="H35" s="195"/>
      <c r="I35" s="195"/>
      <c r="J35" s="183">
        <f t="shared" si="9"/>
        <v>0</v>
      </c>
      <c r="K35" s="196"/>
      <c r="L35" s="195"/>
      <c r="M35" s="195"/>
      <c r="N35" s="195"/>
      <c r="O35" s="195"/>
    </row>
    <row r="36" spans="1:17" ht="13.5" thickTop="1" thickBot="1">
      <c r="A36" s="862"/>
      <c r="B36" s="182" t="s">
        <v>64</v>
      </c>
      <c r="C36" s="182" t="s">
        <v>65</v>
      </c>
      <c r="D36" s="183">
        <f t="shared" si="8"/>
        <v>160020</v>
      </c>
      <c r="E36" s="183"/>
      <c r="F36" s="185">
        <f>G31</f>
        <v>160020</v>
      </c>
      <c r="G36" s="195"/>
      <c r="H36" s="195"/>
      <c r="I36" s="195"/>
      <c r="J36" s="183">
        <f t="shared" si="9"/>
        <v>105540.86590499998</v>
      </c>
      <c r="K36" s="183"/>
      <c r="L36" s="184">
        <f>июль!L36+август!L36+сентябрь!L36</f>
        <v>105540.86590499998</v>
      </c>
      <c r="M36" s="195"/>
      <c r="N36" s="195"/>
      <c r="O36" s="195"/>
    </row>
    <row r="37" spans="1:17" ht="13.5" thickTop="1" thickBot="1">
      <c r="A37" s="862"/>
      <c r="B37" s="182" t="s">
        <v>66</v>
      </c>
      <c r="C37" s="182" t="s">
        <v>67</v>
      </c>
      <c r="D37" s="183">
        <f t="shared" si="8"/>
        <v>633320</v>
      </c>
      <c r="E37" s="183"/>
      <c r="F37" s="185">
        <f>H31</f>
        <v>373380</v>
      </c>
      <c r="G37" s="185">
        <f>H32</f>
        <v>259940</v>
      </c>
      <c r="H37" s="195"/>
      <c r="I37" s="195"/>
      <c r="J37" s="183">
        <f t="shared" si="9"/>
        <v>562819.68992500007</v>
      </c>
      <c r="K37" s="183"/>
      <c r="L37" s="184">
        <f>июль!L37+август!L37+сентябрь!L37</f>
        <v>354772.80602000002</v>
      </c>
      <c r="M37" s="184">
        <f>июль!M37+август!M37+сентябрь!M37</f>
        <v>208046.883905</v>
      </c>
      <c r="N37" s="195"/>
      <c r="O37" s="195"/>
    </row>
    <row r="38" spans="1:17" ht="13.5" thickTop="1" thickBot="1">
      <c r="A38" s="862"/>
      <c r="B38" s="182" t="s">
        <v>68</v>
      </c>
      <c r="C38" s="182" t="s">
        <v>69</v>
      </c>
      <c r="D38" s="183">
        <f t="shared" si="8"/>
        <v>426010</v>
      </c>
      <c r="E38" s="195"/>
      <c r="F38" s="195"/>
      <c r="G38" s="196"/>
      <c r="H38" s="185">
        <f>I33</f>
        <v>426010</v>
      </c>
      <c r="I38" s="195"/>
      <c r="J38" s="183">
        <f t="shared" si="9"/>
        <v>364183.88</v>
      </c>
      <c r="K38" s="195"/>
      <c r="L38" s="195"/>
      <c r="M38" s="196"/>
      <c r="N38" s="184">
        <f>июль!N38+август!N38+сентябрь!N38</f>
        <v>364183.88</v>
      </c>
      <c r="O38" s="195"/>
    </row>
    <row r="39" spans="1:17" s="17" customFormat="1" ht="13.5" thickTop="1" thickBot="1">
      <c r="A39" s="862"/>
      <c r="B39" s="232" t="s">
        <v>70</v>
      </c>
      <c r="C39" s="232" t="s">
        <v>71</v>
      </c>
      <c r="D39" s="192">
        <f t="shared" si="8"/>
        <v>0</v>
      </c>
      <c r="E39" s="192"/>
      <c r="F39" s="192">
        <f>SUM(F40:F43)</f>
        <v>-533400</v>
      </c>
      <c r="G39" s="192">
        <f>SUM(G40:G43)</f>
        <v>-99920</v>
      </c>
      <c r="H39" s="192">
        <f>SUM(H40:H43)</f>
        <v>207310</v>
      </c>
      <c r="I39" s="192">
        <f>SUM(I40:I43)</f>
        <v>426010</v>
      </c>
      <c r="J39" s="192">
        <f t="shared" si="9"/>
        <v>0</v>
      </c>
      <c r="K39" s="192"/>
      <c r="L39" s="192">
        <f>SUM(L40:L43)</f>
        <v>-460313.67192500003</v>
      </c>
      <c r="M39" s="192">
        <f>SUM(M40:M43)</f>
        <v>-102506.01800000001</v>
      </c>
      <c r="N39" s="192">
        <f>SUM(N40:N43)</f>
        <v>198635.80992500007</v>
      </c>
      <c r="O39" s="192">
        <f>SUM(O40:O43)</f>
        <v>364183.88</v>
      </c>
    </row>
    <row r="40" spans="1:17" ht="13.5" thickTop="1" thickBot="1">
      <c r="A40" s="862"/>
      <c r="B40" s="182" t="s">
        <v>72</v>
      </c>
      <c r="C40" s="182" t="s">
        <v>5</v>
      </c>
      <c r="D40" s="183">
        <f t="shared" si="8"/>
        <v>533400</v>
      </c>
      <c r="E40" s="196"/>
      <c r="F40" s="196">
        <f>F31-F35</f>
        <v>0</v>
      </c>
      <c r="G40" s="196">
        <f>G31-G35</f>
        <v>160020</v>
      </c>
      <c r="H40" s="196">
        <f>H31-H35</f>
        <v>373380</v>
      </c>
      <c r="I40" s="195"/>
      <c r="J40" s="183">
        <f t="shared" si="9"/>
        <v>460313.67192500003</v>
      </c>
      <c r="K40" s="196"/>
      <c r="L40" s="196">
        <f>L31-L35</f>
        <v>0</v>
      </c>
      <c r="M40" s="196">
        <f>M31-M35</f>
        <v>105540.86590499998</v>
      </c>
      <c r="N40" s="196">
        <f>N31-N35</f>
        <v>354772.80602000002</v>
      </c>
      <c r="O40" s="195"/>
    </row>
    <row r="41" spans="1:17" ht="13.5" thickTop="1" thickBot="1">
      <c r="A41" s="862"/>
      <c r="B41" s="182" t="s">
        <v>73</v>
      </c>
      <c r="C41" s="182" t="s">
        <v>74</v>
      </c>
      <c r="D41" s="183">
        <f t="shared" si="8"/>
        <v>99920</v>
      </c>
      <c r="E41" s="196">
        <f>E32-E36</f>
        <v>0</v>
      </c>
      <c r="F41" s="196">
        <f>F32-F36</f>
        <v>-160020</v>
      </c>
      <c r="G41" s="195"/>
      <c r="H41" s="196">
        <f>H32-H36</f>
        <v>259940</v>
      </c>
      <c r="I41" s="195"/>
      <c r="J41" s="183">
        <f t="shared" si="9"/>
        <v>102506.01800000001</v>
      </c>
      <c r="K41" s="196">
        <f>K32-K36</f>
        <v>0</v>
      </c>
      <c r="L41" s="196">
        <f>L32-L36</f>
        <v>-105540.86590499998</v>
      </c>
      <c r="M41" s="195"/>
      <c r="N41" s="196">
        <f>N32-N36</f>
        <v>208046.883905</v>
      </c>
      <c r="O41" s="195"/>
    </row>
    <row r="42" spans="1:17" ht="13.5" thickTop="1" thickBot="1">
      <c r="A42" s="862"/>
      <c r="B42" s="182" t="s">
        <v>75</v>
      </c>
      <c r="C42" s="182" t="s">
        <v>76</v>
      </c>
      <c r="D42" s="183">
        <f t="shared" si="8"/>
        <v>-207310</v>
      </c>
      <c r="E42" s="196">
        <f>E33-E37</f>
        <v>0</v>
      </c>
      <c r="F42" s="196">
        <f>F33-F37</f>
        <v>-373380</v>
      </c>
      <c r="G42" s="196">
        <f>G33-G37</f>
        <v>-259940</v>
      </c>
      <c r="H42" s="195"/>
      <c r="I42" s="196">
        <f>I33-I37</f>
        <v>426010</v>
      </c>
      <c r="J42" s="183">
        <f t="shared" si="9"/>
        <v>-198635.80992500007</v>
      </c>
      <c r="K42" s="196">
        <f>K33-K37</f>
        <v>0</v>
      </c>
      <c r="L42" s="196">
        <f>L33-L37</f>
        <v>-354772.80602000002</v>
      </c>
      <c r="M42" s="196">
        <f>M33-M37</f>
        <v>-208046.883905</v>
      </c>
      <c r="N42" s="195"/>
      <c r="O42" s="196">
        <f>O33-O37</f>
        <v>364183.88</v>
      </c>
    </row>
    <row r="43" spans="1:17" ht="13.5" thickTop="1" thickBot="1">
      <c r="A43" s="862"/>
      <c r="B43" s="199" t="s">
        <v>77</v>
      </c>
      <c r="C43" s="199" t="s">
        <v>8</v>
      </c>
      <c r="D43" s="196">
        <f t="shared" si="8"/>
        <v>-426010</v>
      </c>
      <c r="E43" s="195"/>
      <c r="F43" s="195"/>
      <c r="G43" s="196"/>
      <c r="H43" s="196">
        <f>-H38</f>
        <v>-426010</v>
      </c>
      <c r="I43" s="195"/>
      <c r="J43" s="196">
        <f t="shared" si="9"/>
        <v>-364183.88</v>
      </c>
      <c r="K43" s="195"/>
      <c r="L43" s="195"/>
      <c r="M43" s="196"/>
      <c r="N43" s="196">
        <f>-N38</f>
        <v>-364183.88</v>
      </c>
      <c r="O43" s="195"/>
    </row>
    <row r="44" spans="1:17" ht="13.5" thickTop="1" thickBot="1">
      <c r="A44" s="177"/>
      <c r="B44" s="200" t="s">
        <v>78</v>
      </c>
      <c r="C44" s="200" t="s">
        <v>79</v>
      </c>
      <c r="D44" s="201">
        <f>D22</f>
        <v>952950</v>
      </c>
      <c r="E44" s="201">
        <f>E22+E30</f>
        <v>0</v>
      </c>
      <c r="F44" s="201">
        <f>F22+F30</f>
        <v>760120</v>
      </c>
      <c r="G44" s="201">
        <f>G22+G30</f>
        <v>276190</v>
      </c>
      <c r="H44" s="201">
        <f>H22+H30</f>
        <v>709970</v>
      </c>
      <c r="I44" s="201">
        <f>I22+I30</f>
        <v>426020</v>
      </c>
      <c r="J44" s="201">
        <f>J22</f>
        <v>860409.20299999998</v>
      </c>
      <c r="K44" s="201">
        <f>K22+K30</f>
        <v>0</v>
      </c>
      <c r="L44" s="201">
        <f>L22+L30</f>
        <v>678948.94799999997</v>
      </c>
      <c r="M44" s="201">
        <f>M22+M30</f>
        <v>214800.01490499999</v>
      </c>
      <c r="N44" s="201">
        <f>N22+N30</f>
        <v>634925.78192500002</v>
      </c>
      <c r="O44" s="201">
        <f>O22+O30</f>
        <v>364278.89400000003</v>
      </c>
    </row>
    <row r="45" spans="1:17" ht="13.5" thickTop="1" thickBot="1">
      <c r="A45" s="177"/>
      <c r="B45" s="202" t="s">
        <v>80</v>
      </c>
      <c r="C45" s="202" t="s">
        <v>81</v>
      </c>
      <c r="D45" s="203">
        <f>D44</f>
        <v>952950</v>
      </c>
      <c r="E45" s="203">
        <f>E143+E151+E34</f>
        <v>0</v>
      </c>
      <c r="F45" s="203">
        <f>F143+F151+F34-G49-H49-G73-H73-G78-H78-H54-H97-H109-G97-G102-H102-G109-G114-H114-G121-H121-G126-H126-G133-H133</f>
        <v>760120</v>
      </c>
      <c r="G45" s="203">
        <f>G143+G151+G34-H50-I50-H55-I55-H62-I62-H67-I67-H98-H74-H79-H86-H91-H103-H110-H115-H122-H127-H134</f>
        <v>270180</v>
      </c>
      <c r="H45" s="203">
        <f>H143+H151+H34-I51-I56-I63-I68-I75-I80-I87-I92-I99-I104-I111-I116-I123-I128</f>
        <v>647180.69999999995</v>
      </c>
      <c r="I45" s="203">
        <f>I151+I143</f>
        <v>423990.7</v>
      </c>
      <c r="J45" s="203">
        <f>J44</f>
        <v>860409.20299999998</v>
      </c>
      <c r="K45" s="203">
        <f>K143+K151+K34</f>
        <v>0</v>
      </c>
      <c r="L45" s="203">
        <f>L143+L151+L34-M49-N49-M73-N73-M78-N78-N54-N97-N109-M97-M102-N102-M109-M114-N114-M121-N121-M126-N126-M133-N133</f>
        <v>678948.94799999986</v>
      </c>
      <c r="M45" s="203">
        <f>M143+M151+M34-N50-O50-N55-O55-N62-O62-N67-O67-N98-N74-N79-N86-N91-N103-N110-N115-N122-N127-N134</f>
        <v>214646.53690500002</v>
      </c>
      <c r="N45" s="203">
        <f>N143+N151+N34-O51-O56-O63-O68-O75-O80-O87-O92-O99-O104-O111-O116-O123-O128</f>
        <v>571729.25652499998</v>
      </c>
      <c r="O45" s="203">
        <f>O151+O143</f>
        <v>361247.18599999999</v>
      </c>
      <c r="Q45" s="321">
        <f>J44-J53-J78-J89</f>
        <v>723745.76899999997</v>
      </c>
    </row>
    <row r="46" spans="1:17" ht="13.5" thickTop="1" thickBot="1">
      <c r="A46" s="862" t="s">
        <v>82</v>
      </c>
      <c r="B46" s="179" t="s">
        <v>83</v>
      </c>
      <c r="C46" s="179" t="s">
        <v>84</v>
      </c>
      <c r="D46" s="181">
        <f>SUM(E46:I46)</f>
        <v>852710</v>
      </c>
      <c r="E46" s="322">
        <f>E47+E59+E71+E83+E95</f>
        <v>0</v>
      </c>
      <c r="F46" s="322">
        <f>F47+F59+F71+F83+F95+F107+F119+F131</f>
        <v>211820</v>
      </c>
      <c r="G46" s="322">
        <f>G47+G59+G71+G83+G95+G107+G119+G131</f>
        <v>7750</v>
      </c>
      <c r="H46" s="322">
        <f>H47+H59+H71+H83+H95+H107+H119+H131</f>
        <v>256360</v>
      </c>
      <c r="I46" s="322">
        <f>I47+I59+I71+I83+I95+I107+I119+I131</f>
        <v>376780</v>
      </c>
      <c r="J46" s="181">
        <f>SUM(K46:O46)</f>
        <v>739375.85499999998</v>
      </c>
      <c r="K46" s="322">
        <f>K47+K59+K71+K83+K95</f>
        <v>0</v>
      </c>
      <c r="L46" s="322">
        <f>L47+L59+L71+L83+L95+L107+L119+L131</f>
        <v>206089.72259999998</v>
      </c>
      <c r="M46" s="322">
        <f>M47+M59+M71+M83+M95+M107+M119+M131</f>
        <v>1915.7139999999999</v>
      </c>
      <c r="N46" s="322">
        <f>N47+N59+N71+N83+N95+N107+N119+N131</f>
        <v>244802.1784</v>
      </c>
      <c r="O46" s="322">
        <f>O47+O59+O71+O83+O95+O107+O119+O131</f>
        <v>286568.24000000005</v>
      </c>
    </row>
    <row r="47" spans="1:17" s="3" customFormat="1" ht="13.5" thickTop="1" thickBot="1">
      <c r="A47" s="862"/>
      <c r="B47" s="270" t="s">
        <v>85</v>
      </c>
      <c r="C47" s="271" t="s">
        <v>86</v>
      </c>
      <c r="D47" s="581">
        <f t="shared" ref="D47:D147" si="10">SUM(E47:I47)</f>
        <v>619210</v>
      </c>
      <c r="E47" s="338">
        <f>июль!E47+август!E47+сентябрь!E47</f>
        <v>0</v>
      </c>
      <c r="F47" s="338">
        <f>июль!F47+август!F47+сентябрь!F47</f>
        <v>4970</v>
      </c>
      <c r="G47" s="338">
        <f>июль!G47+август!G47+сентябрь!G47</f>
        <v>2140</v>
      </c>
      <c r="H47" s="338">
        <f>июль!H47+август!H47+сентябрь!H47</f>
        <v>237270</v>
      </c>
      <c r="I47" s="338">
        <f>июль!I47+август!I47+сентябрь!I47</f>
        <v>374830</v>
      </c>
      <c r="J47" s="206">
        <f t="shared" ref="J47:J147" si="11">SUM(K47:O47)</f>
        <v>514147.08899999998</v>
      </c>
      <c r="K47" s="184">
        <f>июль!K47+август!K47+сентябрь!K47</f>
        <v>0</v>
      </c>
      <c r="L47" s="184">
        <f>июль!L47+август!L47+сентябрь!L47</f>
        <v>5728.1455999999962</v>
      </c>
      <c r="M47" s="184">
        <f>июль!M47+август!M47+сентябрь!M47</f>
        <v>1762.2359999999999</v>
      </c>
      <c r="N47" s="184">
        <f>июль!N47+август!N47+сентябрь!N47</f>
        <v>223128.64739999999</v>
      </c>
      <c r="O47" s="184">
        <f>июль!O47+август!O47+сентябрь!O47</f>
        <v>283528.06</v>
      </c>
    </row>
    <row r="48" spans="1:17" ht="13.5" thickTop="1" thickBot="1">
      <c r="A48" s="862"/>
      <c r="B48" s="263" t="s">
        <v>87</v>
      </c>
      <c r="C48" s="263" t="s">
        <v>88</v>
      </c>
      <c r="D48" s="196">
        <f t="shared" si="10"/>
        <v>0</v>
      </c>
      <c r="E48" s="196"/>
      <c r="F48" s="196"/>
      <c r="G48" s="196"/>
      <c r="H48" s="196"/>
      <c r="I48" s="196"/>
      <c r="J48" s="196">
        <f t="shared" si="11"/>
        <v>0</v>
      </c>
      <c r="K48" s="196"/>
      <c r="L48" s="196"/>
      <c r="M48" s="196"/>
      <c r="N48" s="196"/>
      <c r="O48" s="196"/>
    </row>
    <row r="49" spans="1:15" ht="13.5" thickTop="1" thickBot="1">
      <c r="A49" s="862"/>
      <c r="B49" s="275"/>
      <c r="C49" s="276" t="s">
        <v>89</v>
      </c>
      <c r="D49" s="209">
        <f t="shared" si="10"/>
        <v>37900</v>
      </c>
      <c r="E49" s="210"/>
      <c r="F49" s="210"/>
      <c r="G49" s="240"/>
      <c r="H49" s="184">
        <f>июль!H49+август!H49+сентябрь!H49</f>
        <v>37900</v>
      </c>
      <c r="I49" s="210"/>
      <c r="J49" s="209">
        <f t="shared" si="11"/>
        <v>34760.519400000005</v>
      </c>
      <c r="K49" s="210"/>
      <c r="L49" s="210"/>
      <c r="M49" s="240"/>
      <c r="N49" s="184">
        <f>июль!N49+август!N49+сентябрь!N49</f>
        <v>34760.519400000005</v>
      </c>
      <c r="O49" s="210"/>
    </row>
    <row r="50" spans="1:15" ht="13.5" thickTop="1" thickBot="1">
      <c r="A50" s="862"/>
      <c r="B50" s="275"/>
      <c r="C50" s="276" t="s">
        <v>90</v>
      </c>
      <c r="D50" s="209">
        <f t="shared" si="10"/>
        <v>5300</v>
      </c>
      <c r="E50" s="210"/>
      <c r="F50" s="210"/>
      <c r="G50" s="210"/>
      <c r="H50" s="184">
        <f>июль!H50+август!H50+сентябрь!H50</f>
        <v>5300</v>
      </c>
      <c r="I50" s="235"/>
      <c r="J50" s="209">
        <f t="shared" si="11"/>
        <v>956.0680000000001</v>
      </c>
      <c r="K50" s="210"/>
      <c r="L50" s="210"/>
      <c r="M50" s="210"/>
      <c r="N50" s="184">
        <f>июль!N50+август!N50+сентябрь!N50</f>
        <v>956.0680000000001</v>
      </c>
      <c r="O50" s="235"/>
    </row>
    <row r="51" spans="1:15" ht="13.5" thickTop="1" thickBot="1">
      <c r="A51" s="862"/>
      <c r="B51" s="275"/>
      <c r="C51" s="276" t="s">
        <v>91</v>
      </c>
      <c r="D51" s="209">
        <f t="shared" si="10"/>
        <v>0</v>
      </c>
      <c r="E51" s="210"/>
      <c r="F51" s="210"/>
      <c r="G51" s="210"/>
      <c r="H51" s="210"/>
      <c r="I51" s="240"/>
      <c r="J51" s="209">
        <f t="shared" si="11"/>
        <v>0</v>
      </c>
      <c r="K51" s="210"/>
      <c r="L51" s="210"/>
      <c r="M51" s="210"/>
      <c r="N51" s="210"/>
      <c r="O51" s="240"/>
    </row>
    <row r="52" spans="1:15" ht="13.5" thickTop="1" thickBot="1">
      <c r="A52" s="862"/>
      <c r="B52" s="263" t="s">
        <v>92</v>
      </c>
      <c r="C52" s="263" t="s">
        <v>93</v>
      </c>
      <c r="D52" s="196">
        <f t="shared" si="10"/>
        <v>0</v>
      </c>
      <c r="E52" s="196"/>
      <c r="F52" s="184">
        <f>июль!F52+август!F52+сентябрь!F52</f>
        <v>0</v>
      </c>
      <c r="G52" s="184">
        <f>июль!G52+август!G52+сентябрь!G52</f>
        <v>0</v>
      </c>
      <c r="H52" s="184">
        <f>июль!H52+август!H52+сентябрь!H52</f>
        <v>0</v>
      </c>
      <c r="I52" s="184">
        <f>июль!I52+август!I52+сентябрь!I52</f>
        <v>0</v>
      </c>
      <c r="J52" s="196">
        <f t="shared" si="11"/>
        <v>0</v>
      </c>
      <c r="K52" s="196"/>
      <c r="L52" s="184">
        <f>июль!L52+август!L52+сентябрь!L52</f>
        <v>0</v>
      </c>
      <c r="M52" s="184">
        <f>июль!M52+август!M52+сентябрь!M52</f>
        <v>0</v>
      </c>
      <c r="N52" s="184">
        <f>июль!N52+август!N52+сентябрь!N52</f>
        <v>0</v>
      </c>
      <c r="O52" s="184">
        <f>июль!O52+август!O52+сентябрь!O52</f>
        <v>0</v>
      </c>
    </row>
    <row r="53" spans="1:15" ht="13.5" thickTop="1" thickBot="1">
      <c r="A53" s="862"/>
      <c r="B53" s="263" t="s">
        <v>94</v>
      </c>
      <c r="C53" s="263" t="s">
        <v>95</v>
      </c>
      <c r="D53" s="213">
        <f t="shared" si="10"/>
        <v>54569</v>
      </c>
      <c r="E53" s="240"/>
      <c r="F53" s="212"/>
      <c r="G53" s="184">
        <f>июль!G53+август!G53+сентябрь!G53</f>
        <v>1814</v>
      </c>
      <c r="H53" s="184">
        <f>июль!H53+август!H53+сентябрь!H53</f>
        <v>52755</v>
      </c>
      <c r="I53" s="196"/>
      <c r="J53" s="213">
        <f t="shared" si="11"/>
        <v>53750.395000000004</v>
      </c>
      <c r="K53" s="240"/>
      <c r="L53" s="212"/>
      <c r="M53" s="184">
        <f>июль!M53+август!M53+сентябрь!M53</f>
        <v>1762.2359999999999</v>
      </c>
      <c r="N53" s="184">
        <f>июль!N53+август!N53+сентябрь!N53</f>
        <v>51965.403000000006</v>
      </c>
      <c r="O53" s="184">
        <f>июль!O53+август!O53+сентябрь!O53</f>
        <v>22.756</v>
      </c>
    </row>
    <row r="54" spans="1:15" ht="13.5" thickTop="1" thickBot="1">
      <c r="A54" s="862"/>
      <c r="B54" s="275"/>
      <c r="C54" s="276" t="s">
        <v>89</v>
      </c>
      <c r="D54" s="209">
        <f t="shared" si="10"/>
        <v>2900</v>
      </c>
      <c r="E54" s="210"/>
      <c r="F54" s="210"/>
      <c r="G54" s="240"/>
      <c r="H54" s="184">
        <f>июль!H54+август!H54+сентябрь!H54</f>
        <v>2900</v>
      </c>
      <c r="I54" s="210"/>
      <c r="J54" s="209">
        <f t="shared" si="11"/>
        <v>16855.027999999998</v>
      </c>
      <c r="K54" s="210"/>
      <c r="L54" s="210"/>
      <c r="M54" s="240"/>
      <c r="N54" s="184">
        <f>июль!N54+август!N54+сентябрь!N54</f>
        <v>16855.027999999998</v>
      </c>
      <c r="O54" s="210"/>
    </row>
    <row r="55" spans="1:15" ht="13.5" thickTop="1" thickBot="1">
      <c r="A55" s="862"/>
      <c r="B55" s="275"/>
      <c r="C55" s="276" t="s">
        <v>90</v>
      </c>
      <c r="D55" s="209">
        <f t="shared" si="10"/>
        <v>0</v>
      </c>
      <c r="E55" s="210"/>
      <c r="F55" s="210"/>
      <c r="G55" s="210"/>
      <c r="H55" s="212"/>
      <c r="I55" s="212"/>
      <c r="J55" s="209">
        <f t="shared" si="11"/>
        <v>0</v>
      </c>
      <c r="K55" s="210"/>
      <c r="L55" s="210"/>
      <c r="M55" s="210"/>
      <c r="N55" s="235"/>
      <c r="O55" s="235"/>
    </row>
    <row r="56" spans="1:15" ht="13.5" thickTop="1" thickBot="1">
      <c r="A56" s="862"/>
      <c r="B56" s="275"/>
      <c r="C56" s="276" t="s">
        <v>91</v>
      </c>
      <c r="D56" s="209">
        <f t="shared" si="10"/>
        <v>0</v>
      </c>
      <c r="E56" s="210"/>
      <c r="F56" s="210"/>
      <c r="G56" s="210"/>
      <c r="H56" s="210"/>
      <c r="I56" s="212"/>
      <c r="J56" s="209">
        <f t="shared" si="11"/>
        <v>0</v>
      </c>
      <c r="K56" s="210"/>
      <c r="L56" s="210"/>
      <c r="M56" s="210"/>
      <c r="N56" s="210"/>
      <c r="O56" s="235"/>
    </row>
    <row r="57" spans="1:15" ht="13.5" thickTop="1" thickBot="1">
      <c r="A57" s="862"/>
      <c r="B57" s="263" t="s">
        <v>96</v>
      </c>
      <c r="C57" s="263" t="s">
        <v>97</v>
      </c>
      <c r="D57" s="196">
        <f t="shared" si="10"/>
        <v>881</v>
      </c>
      <c r="E57" s="196"/>
      <c r="F57" s="196"/>
      <c r="G57" s="196"/>
      <c r="H57" s="184">
        <f>июль!H57+август!H57+сентябрь!H57</f>
        <v>881</v>
      </c>
      <c r="I57" s="196"/>
      <c r="J57" s="196">
        <f t="shared" si="11"/>
        <v>703.43782499999998</v>
      </c>
      <c r="K57" s="196"/>
      <c r="L57" s="196"/>
      <c r="M57" s="196"/>
      <c r="N57" s="184">
        <f>июль!N57+август!N57+сентябрь!N57</f>
        <v>703.43782499999998</v>
      </c>
      <c r="O57" s="196"/>
    </row>
    <row r="58" spans="1:15" ht="13.5" thickTop="1" thickBot="1">
      <c r="A58" s="862"/>
      <c r="B58" s="263" t="s">
        <v>98</v>
      </c>
      <c r="C58" s="263" t="s">
        <v>99</v>
      </c>
      <c r="D58" s="196">
        <f t="shared" si="10"/>
        <v>0</v>
      </c>
      <c r="E58" s="196"/>
      <c r="F58" s="196"/>
      <c r="G58" s="196"/>
      <c r="H58" s="235"/>
      <c r="I58" s="196"/>
      <c r="J58" s="196">
        <f t="shared" si="11"/>
        <v>0</v>
      </c>
      <c r="K58" s="196"/>
      <c r="L58" s="196"/>
      <c r="M58" s="196"/>
      <c r="N58" s="235"/>
      <c r="O58" s="196"/>
    </row>
    <row r="59" spans="1:15" ht="13.5" thickTop="1" thickBot="1">
      <c r="A59" s="862"/>
      <c r="B59" s="204" t="s">
        <v>171</v>
      </c>
      <c r="C59" s="205" t="s">
        <v>190</v>
      </c>
      <c r="D59" s="206">
        <f t="shared" si="10"/>
        <v>7210</v>
      </c>
      <c r="E59" s="338">
        <f>июль!E59+август!E59+сентябрь!E59</f>
        <v>0</v>
      </c>
      <c r="F59" s="338">
        <f>июль!F59+август!F59+сентябрь!F59</f>
        <v>4250</v>
      </c>
      <c r="G59" s="214"/>
      <c r="H59" s="338">
        <f>июль!H59+август!H59+сентябрь!H59</f>
        <v>1010</v>
      </c>
      <c r="I59" s="338">
        <f>июль!I59+август!I59+сентябрь!I59</f>
        <v>1950</v>
      </c>
      <c r="J59" s="206">
        <f t="shared" si="11"/>
        <v>6693.2400000000007</v>
      </c>
      <c r="K59" s="184">
        <f>июль!K59+август!K59+сентябрь!K59</f>
        <v>0</v>
      </c>
      <c r="L59" s="184">
        <f>июль!L59+август!L59+сентябрь!L59</f>
        <v>3356.4570000000003</v>
      </c>
      <c r="M59" s="214">
        <v>0</v>
      </c>
      <c r="N59" s="184">
        <f>июль!N59+август!N59+сентябрь!N59</f>
        <v>1421.5139999999999</v>
      </c>
      <c r="O59" s="184">
        <f>июль!O59+август!O59+сентябрь!O59</f>
        <v>1915.2690000000002</v>
      </c>
    </row>
    <row r="60" spans="1:15" ht="13.5" thickTop="1" thickBot="1">
      <c r="A60" s="862"/>
      <c r="B60" s="182" t="s">
        <v>172</v>
      </c>
      <c r="C60" s="182" t="s">
        <v>88</v>
      </c>
      <c r="D60" s="196">
        <f t="shared" si="10"/>
        <v>0</v>
      </c>
      <c r="E60" s="196"/>
      <c r="F60" s="196"/>
      <c r="G60" s="196"/>
      <c r="H60" s="196"/>
      <c r="I60" s="196"/>
      <c r="J60" s="196">
        <f t="shared" si="11"/>
        <v>0</v>
      </c>
      <c r="K60" s="196"/>
      <c r="L60" s="196"/>
      <c r="M60" s="196">
        <f>SUM(M61:M63)</f>
        <v>0</v>
      </c>
      <c r="N60" s="196">
        <f>SUM(N61:N63)</f>
        <v>0</v>
      </c>
      <c r="O60" s="196">
        <f>SUM(O61:O63)</f>
        <v>0</v>
      </c>
    </row>
    <row r="61" spans="1:15" ht="13.5" thickTop="1" thickBot="1">
      <c r="A61" s="862"/>
      <c r="B61" s="207"/>
      <c r="C61" s="208" t="s">
        <v>89</v>
      </c>
      <c r="D61" s="209">
        <f t="shared" si="10"/>
        <v>0</v>
      </c>
      <c r="E61" s="210"/>
      <c r="F61" s="210"/>
      <c r="G61" s="209"/>
      <c r="H61" s="209"/>
      <c r="I61" s="210"/>
      <c r="J61" s="209">
        <f t="shared" si="11"/>
        <v>0</v>
      </c>
      <c r="K61" s="210"/>
      <c r="L61" s="210"/>
      <c r="M61" s="209"/>
      <c r="N61" s="209"/>
      <c r="O61" s="210"/>
    </row>
    <row r="62" spans="1:15" ht="13.5" thickTop="1" thickBot="1">
      <c r="A62" s="862"/>
      <c r="B62" s="207"/>
      <c r="C62" s="208" t="s">
        <v>90</v>
      </c>
      <c r="D62" s="209">
        <f t="shared" si="10"/>
        <v>0</v>
      </c>
      <c r="E62" s="210"/>
      <c r="F62" s="210"/>
      <c r="G62" s="210"/>
      <c r="H62" s="209"/>
      <c r="I62" s="209"/>
      <c r="J62" s="209">
        <f t="shared" si="11"/>
        <v>0</v>
      </c>
      <c r="K62" s="210"/>
      <c r="L62" s="210"/>
      <c r="M62" s="210"/>
      <c r="N62" s="209"/>
      <c r="O62" s="209"/>
    </row>
    <row r="63" spans="1:15" ht="13.5" thickTop="1" thickBot="1">
      <c r="A63" s="862"/>
      <c r="B63" s="207"/>
      <c r="C63" s="208" t="s">
        <v>91</v>
      </c>
      <c r="D63" s="209">
        <f t="shared" si="10"/>
        <v>0</v>
      </c>
      <c r="E63" s="210"/>
      <c r="F63" s="210"/>
      <c r="G63" s="210"/>
      <c r="H63" s="210"/>
      <c r="I63" s="209"/>
      <c r="J63" s="209">
        <f t="shared" si="11"/>
        <v>0</v>
      </c>
      <c r="K63" s="210"/>
      <c r="L63" s="210"/>
      <c r="M63" s="210"/>
      <c r="N63" s="210"/>
      <c r="O63" s="209"/>
    </row>
    <row r="64" spans="1:15" ht="13.5" thickTop="1" thickBot="1">
      <c r="A64" s="862"/>
      <c r="B64" s="182" t="s">
        <v>173</v>
      </c>
      <c r="C64" s="182" t="s">
        <v>93</v>
      </c>
      <c r="D64" s="196">
        <f t="shared" si="10"/>
        <v>0</v>
      </c>
      <c r="E64" s="184">
        <f>июль!E64+август!E64+сентябрь!E64</f>
        <v>0</v>
      </c>
      <c r="F64" s="184">
        <f>июль!F64+август!F64+сентябрь!F64</f>
        <v>0</v>
      </c>
      <c r="G64" s="211"/>
      <c r="H64" s="211"/>
      <c r="I64" s="196"/>
      <c r="J64" s="196">
        <f t="shared" si="11"/>
        <v>0</v>
      </c>
      <c r="K64" s="184">
        <f>июль!K64+август!K64+сентябрь!K64</f>
        <v>0</v>
      </c>
      <c r="L64" s="184">
        <f>июль!L64+август!L64+сентябрь!L64</f>
        <v>0</v>
      </c>
      <c r="M64" s="211"/>
      <c r="N64" s="211"/>
      <c r="O64" s="184">
        <f>июль!O64+август!O64+сентябрь!O64</f>
        <v>0</v>
      </c>
    </row>
    <row r="65" spans="1:15" ht="13.5" thickTop="1" thickBot="1">
      <c r="A65" s="862"/>
      <c r="B65" s="182" t="s">
        <v>174</v>
      </c>
      <c r="C65" s="182" t="s">
        <v>95</v>
      </c>
      <c r="D65" s="213">
        <f t="shared" si="10"/>
        <v>0</v>
      </c>
      <c r="E65" s="184">
        <f>июль!E65+август!E65+сентябрь!E65</f>
        <v>0</v>
      </c>
      <c r="F65" s="209"/>
      <c r="G65" s="209"/>
      <c r="H65" s="209"/>
      <c r="I65" s="196"/>
      <c r="J65" s="213">
        <f t="shared" si="11"/>
        <v>0</v>
      </c>
      <c r="K65" s="184">
        <f>июль!K65+август!K65+сентябрь!K65</f>
        <v>0</v>
      </c>
      <c r="L65" s="184">
        <f>июль!L65+август!L65+сентябрь!L65</f>
        <v>0</v>
      </c>
      <c r="M65" s="209"/>
      <c r="N65" s="209"/>
      <c r="O65" s="196"/>
    </row>
    <row r="66" spans="1:15" ht="13.5" thickTop="1" thickBot="1">
      <c r="A66" s="862"/>
      <c r="B66" s="207"/>
      <c r="C66" s="208" t="s">
        <v>89</v>
      </c>
      <c r="D66" s="209">
        <f t="shared" si="10"/>
        <v>0</v>
      </c>
      <c r="E66" s="210"/>
      <c r="F66" s="210"/>
      <c r="G66" s="209"/>
      <c r="H66" s="209"/>
      <c r="I66" s="210"/>
      <c r="J66" s="209">
        <f t="shared" si="11"/>
        <v>0</v>
      </c>
      <c r="K66" s="210"/>
      <c r="L66" s="210"/>
      <c r="M66" s="209"/>
      <c r="N66" s="209"/>
      <c r="O66" s="210"/>
    </row>
    <row r="67" spans="1:15" ht="13.5" thickTop="1" thickBot="1">
      <c r="A67" s="862"/>
      <c r="B67" s="207"/>
      <c r="C67" s="208" t="s">
        <v>90</v>
      </c>
      <c r="D67" s="209">
        <f t="shared" si="10"/>
        <v>0</v>
      </c>
      <c r="E67" s="210"/>
      <c r="F67" s="210"/>
      <c r="G67" s="210"/>
      <c r="H67" s="209"/>
      <c r="I67" s="209"/>
      <c r="J67" s="209">
        <f t="shared" si="11"/>
        <v>0</v>
      </c>
      <c r="K67" s="210"/>
      <c r="L67" s="210"/>
      <c r="M67" s="210"/>
      <c r="N67" s="209"/>
      <c r="O67" s="209"/>
    </row>
    <row r="68" spans="1:15" ht="13.5" thickTop="1" thickBot="1">
      <c r="A68" s="862"/>
      <c r="B68" s="207"/>
      <c r="C68" s="208" t="s">
        <v>91</v>
      </c>
      <c r="D68" s="209">
        <f t="shared" si="10"/>
        <v>0</v>
      </c>
      <c r="E68" s="210"/>
      <c r="F68" s="210"/>
      <c r="G68" s="210"/>
      <c r="H68" s="210"/>
      <c r="I68" s="209"/>
      <c r="J68" s="209">
        <f t="shared" si="11"/>
        <v>0</v>
      </c>
      <c r="K68" s="210"/>
      <c r="L68" s="210"/>
      <c r="M68" s="210"/>
      <c r="N68" s="210"/>
      <c r="O68" s="209"/>
    </row>
    <row r="69" spans="1:15" ht="13.5" thickTop="1" thickBot="1">
      <c r="A69" s="862"/>
      <c r="B69" s="182" t="s">
        <v>176</v>
      </c>
      <c r="C69" s="182" t="s">
        <v>97</v>
      </c>
      <c r="D69" s="196">
        <f t="shared" si="10"/>
        <v>0</v>
      </c>
      <c r="E69" s="196"/>
      <c r="F69" s="196"/>
      <c r="G69" s="196"/>
      <c r="H69" s="185"/>
      <c r="I69" s="196"/>
      <c r="J69" s="196">
        <f t="shared" si="11"/>
        <v>0</v>
      </c>
      <c r="K69" s="196"/>
      <c r="L69" s="196"/>
      <c r="M69" s="196"/>
      <c r="N69" s="185"/>
      <c r="O69" s="196"/>
    </row>
    <row r="70" spans="1:15" ht="13.5" thickTop="1" thickBot="1">
      <c r="A70" s="862"/>
      <c r="B70" s="182" t="s">
        <v>175</v>
      </c>
      <c r="C70" s="182" t="s">
        <v>99</v>
      </c>
      <c r="D70" s="196">
        <f t="shared" si="10"/>
        <v>0</v>
      </c>
      <c r="E70" s="196"/>
      <c r="F70" s="196"/>
      <c r="G70" s="196"/>
      <c r="H70" s="185"/>
      <c r="I70" s="196"/>
      <c r="J70" s="196">
        <f t="shared" si="11"/>
        <v>0</v>
      </c>
      <c r="K70" s="196"/>
      <c r="L70" s="196"/>
      <c r="M70" s="196"/>
      <c r="N70" s="185"/>
      <c r="O70" s="196"/>
    </row>
    <row r="71" spans="1:15" ht="13.5" thickTop="1" thickBot="1">
      <c r="A71" s="862"/>
      <c r="B71" s="204" t="s">
        <v>177</v>
      </c>
      <c r="C71" s="205" t="s">
        <v>203</v>
      </c>
      <c r="D71" s="206">
        <f t="shared" si="10"/>
        <v>9020</v>
      </c>
      <c r="E71" s="284"/>
      <c r="F71" s="284"/>
      <c r="G71" s="338">
        <f>июль!G71+август!G71+сентябрь!G71</f>
        <v>5610</v>
      </c>
      <c r="H71" s="338">
        <f>июль!H71+август!H71+сентябрь!H71</f>
        <v>3410</v>
      </c>
      <c r="I71" s="214">
        <v>0</v>
      </c>
      <c r="J71" s="206">
        <f t="shared" si="11"/>
        <v>8361.8410000000003</v>
      </c>
      <c r="K71" s="339"/>
      <c r="L71" s="339"/>
      <c r="M71" s="184">
        <f>июль!M71+август!M71+сентябрь!M71</f>
        <v>153.47800000000001</v>
      </c>
      <c r="N71" s="184">
        <f>июль!N71+август!N71+сентябрь!N71</f>
        <v>7150.2330000000002</v>
      </c>
      <c r="O71" s="184">
        <f>июль!O71+август!O71+сентябрь!O71</f>
        <v>1058.1299999999999</v>
      </c>
    </row>
    <row r="72" spans="1:15" ht="13.5" thickTop="1" thickBot="1">
      <c r="A72" s="862"/>
      <c r="B72" s="182" t="s">
        <v>178</v>
      </c>
      <c r="C72" s="182" t="s">
        <v>88</v>
      </c>
      <c r="D72" s="196">
        <f t="shared" si="10"/>
        <v>0</v>
      </c>
      <c r="E72" s="196"/>
      <c r="F72" s="196"/>
      <c r="G72" s="196"/>
      <c r="H72" s="196"/>
      <c r="I72" s="196"/>
      <c r="J72" s="196">
        <f t="shared" si="11"/>
        <v>0</v>
      </c>
      <c r="K72" s="196"/>
      <c r="L72" s="196"/>
      <c r="M72" s="196"/>
      <c r="N72" s="196"/>
      <c r="O72" s="196"/>
    </row>
    <row r="73" spans="1:15" ht="13.5" thickTop="1" thickBot="1">
      <c r="A73" s="862"/>
      <c r="B73" s="207"/>
      <c r="C73" s="208" t="s">
        <v>89</v>
      </c>
      <c r="D73" s="209">
        <f t="shared" si="10"/>
        <v>1787</v>
      </c>
      <c r="E73" s="210"/>
      <c r="F73" s="210"/>
      <c r="G73" s="184">
        <f>июль!G73+август!G73+сентябрь!G73</f>
        <v>736</v>
      </c>
      <c r="H73" s="184">
        <f>июль!H73+август!H73+сентябрь!H73</f>
        <v>1051</v>
      </c>
      <c r="I73" s="210"/>
      <c r="J73" s="734">
        <f t="shared" si="11"/>
        <v>-6547.1610000000001</v>
      </c>
      <c r="K73" s="739"/>
      <c r="L73" s="739"/>
      <c r="M73" s="740">
        <f>июль!M73+август!M73+сентябрь!M73</f>
        <v>-1891.569</v>
      </c>
      <c r="N73" s="740">
        <f>июль!N73+август!N73+сентябрь!N73</f>
        <v>-4655.5920000000006</v>
      </c>
      <c r="O73" s="210"/>
    </row>
    <row r="74" spans="1:15" ht="13.5" thickTop="1" thickBot="1">
      <c r="A74" s="862"/>
      <c r="B74" s="207"/>
      <c r="C74" s="208" t="s">
        <v>90</v>
      </c>
      <c r="D74" s="209">
        <f t="shared" si="10"/>
        <v>0</v>
      </c>
      <c r="E74" s="210"/>
      <c r="F74" s="210"/>
      <c r="G74" s="210"/>
      <c r="H74" s="209"/>
      <c r="I74" s="209"/>
      <c r="J74" s="209">
        <f t="shared" si="11"/>
        <v>0</v>
      </c>
      <c r="K74" s="210"/>
      <c r="L74" s="210"/>
      <c r="M74" s="210"/>
      <c r="N74" s="209"/>
      <c r="O74" s="209"/>
    </row>
    <row r="75" spans="1:15" ht="13.5" thickTop="1" thickBot="1">
      <c r="A75" s="862"/>
      <c r="B75" s="207"/>
      <c r="C75" s="208" t="s">
        <v>91</v>
      </c>
      <c r="D75" s="209">
        <f t="shared" si="10"/>
        <v>0</v>
      </c>
      <c r="E75" s="210"/>
      <c r="F75" s="210"/>
      <c r="G75" s="210"/>
      <c r="H75" s="210"/>
      <c r="I75" s="209"/>
      <c r="J75" s="209">
        <f t="shared" si="11"/>
        <v>0</v>
      </c>
      <c r="K75" s="210"/>
      <c r="L75" s="210"/>
      <c r="M75" s="210"/>
      <c r="N75" s="210"/>
      <c r="O75" s="209"/>
    </row>
    <row r="76" spans="1:15" ht="13.5" thickTop="1" thickBot="1">
      <c r="A76" s="862"/>
      <c r="B76" s="182" t="s">
        <v>179</v>
      </c>
      <c r="C76" s="182" t="s">
        <v>93</v>
      </c>
      <c r="D76" s="196">
        <f t="shared" si="10"/>
        <v>0</v>
      </c>
      <c r="E76" s="196"/>
      <c r="F76" s="196"/>
      <c r="G76" s="211"/>
      <c r="H76" s="211"/>
      <c r="I76" s="196"/>
      <c r="J76" s="196">
        <f t="shared" si="11"/>
        <v>0</v>
      </c>
      <c r="K76" s="196"/>
      <c r="L76" s="196"/>
      <c r="M76" s="211"/>
      <c r="N76" s="211"/>
      <c r="O76" s="196"/>
    </row>
    <row r="77" spans="1:15" ht="13.5" thickTop="1" thickBot="1">
      <c r="A77" s="862"/>
      <c r="B77" s="182" t="s">
        <v>180</v>
      </c>
      <c r="C77" s="182" t="s">
        <v>95</v>
      </c>
      <c r="D77" s="213">
        <f t="shared" si="10"/>
        <v>0</v>
      </c>
      <c r="E77" s="215"/>
      <c r="F77" s="209"/>
      <c r="G77" s="184"/>
      <c r="H77" s="184"/>
      <c r="I77" s="196"/>
      <c r="J77" s="213"/>
      <c r="K77" s="319"/>
      <c r="L77" s="320"/>
      <c r="M77" s="184"/>
      <c r="N77" s="184"/>
      <c r="O77" s="196"/>
    </row>
    <row r="78" spans="1:15" ht="13.5" thickTop="1" thickBot="1">
      <c r="A78" s="862"/>
      <c r="B78" s="207"/>
      <c r="C78" s="208" t="s">
        <v>89</v>
      </c>
      <c r="D78" s="209">
        <f t="shared" si="10"/>
        <v>7233</v>
      </c>
      <c r="E78" s="210"/>
      <c r="F78" s="210"/>
      <c r="G78" s="184">
        <f>июль!G78+август!G78+сентябрь!G78</f>
        <v>4874</v>
      </c>
      <c r="H78" s="184">
        <f>июль!H78+август!H78+сентябрь!H78</f>
        <v>2359</v>
      </c>
      <c r="I78" s="210"/>
      <c r="J78" s="209">
        <f t="shared" si="11"/>
        <v>6700.639000000001</v>
      </c>
      <c r="K78" s="210"/>
      <c r="L78" s="210"/>
      <c r="M78" s="184">
        <f>июль!M78+август!M78+сентябрь!M78</f>
        <v>2045.047</v>
      </c>
      <c r="N78" s="184">
        <f>июль!N78+август!N78+сентябрь!N78</f>
        <v>4655.5920000000006</v>
      </c>
      <c r="O78" s="210"/>
    </row>
    <row r="79" spans="1:15" ht="13.5" thickTop="1" thickBot="1">
      <c r="A79" s="862"/>
      <c r="B79" s="207"/>
      <c r="C79" s="208" t="s">
        <v>90</v>
      </c>
      <c r="D79" s="209">
        <f t="shared" si="10"/>
        <v>0</v>
      </c>
      <c r="E79" s="210"/>
      <c r="F79" s="210"/>
      <c r="G79" s="210"/>
      <c r="H79" s="209"/>
      <c r="I79" s="209"/>
      <c r="J79" s="209">
        <f t="shared" si="11"/>
        <v>0</v>
      </c>
      <c r="K79" s="210"/>
      <c r="L79" s="210"/>
      <c r="M79" s="210"/>
      <c r="N79" s="209"/>
      <c r="O79" s="209"/>
    </row>
    <row r="80" spans="1:15" ht="13.5" thickTop="1" thickBot="1">
      <c r="A80" s="862"/>
      <c r="B80" s="207"/>
      <c r="C80" s="208" t="s">
        <v>91</v>
      </c>
      <c r="D80" s="209">
        <f t="shared" si="10"/>
        <v>0</v>
      </c>
      <c r="E80" s="210"/>
      <c r="F80" s="210"/>
      <c r="G80" s="210"/>
      <c r="H80" s="210"/>
      <c r="I80" s="209"/>
      <c r="J80" s="209">
        <f t="shared" si="11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196">
        <f t="shared" si="10"/>
        <v>0</v>
      </c>
      <c r="E81" s="196"/>
      <c r="F81" s="196"/>
      <c r="G81" s="196"/>
      <c r="H81" s="185"/>
      <c r="I81" s="196"/>
      <c r="J81" s="196">
        <f t="shared" si="11"/>
        <v>0</v>
      </c>
      <c r="K81" s="196"/>
      <c r="L81" s="196"/>
      <c r="M81" s="196"/>
      <c r="N81" s="196"/>
      <c r="O81" s="196"/>
    </row>
    <row r="82" spans="1:15" ht="13.5" thickTop="1" thickBot="1">
      <c r="A82" s="862"/>
      <c r="B82" s="182" t="s">
        <v>182</v>
      </c>
      <c r="C82" s="182" t="s">
        <v>99</v>
      </c>
      <c r="D82" s="196">
        <f t="shared" si="10"/>
        <v>0</v>
      </c>
      <c r="E82" s="196"/>
      <c r="F82" s="196"/>
      <c r="G82" s="196"/>
      <c r="H82" s="185"/>
      <c r="I82" s="196"/>
      <c r="J82" s="196">
        <f t="shared" si="11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196">
        <f t="shared" si="10"/>
        <v>202600</v>
      </c>
      <c r="E83" s="196"/>
      <c r="F83" s="338">
        <f>июль!F83+август!F83+сентябрь!F83</f>
        <v>202600</v>
      </c>
      <c r="G83" s="196"/>
      <c r="H83" s="185"/>
      <c r="I83" s="196"/>
      <c r="J83" s="181">
        <f t="shared" si="11"/>
        <v>197005.12</v>
      </c>
      <c r="K83" s="196"/>
      <c r="L83" s="184">
        <f>июль!L83+август!L83+сентябрь!L83</f>
        <v>197005.12</v>
      </c>
      <c r="M83" s="196"/>
      <c r="N83" s="185"/>
      <c r="O83" s="196"/>
    </row>
    <row r="84" spans="1:15" ht="13.5" thickTop="1" thickBot="1">
      <c r="A84" s="862"/>
      <c r="B84" s="182" t="s">
        <v>184</v>
      </c>
      <c r="C84" s="182" t="s">
        <v>88</v>
      </c>
      <c r="D84" s="196">
        <f t="shared" si="10"/>
        <v>0</v>
      </c>
      <c r="E84" s="196"/>
      <c r="F84" s="196"/>
      <c r="G84" s="196"/>
      <c r="H84" s="196"/>
      <c r="I84" s="196"/>
      <c r="J84" s="196">
        <f t="shared" si="11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209">
        <f t="shared" si="10"/>
        <v>0</v>
      </c>
      <c r="E85" s="210"/>
      <c r="F85" s="210"/>
      <c r="G85" s="209"/>
      <c r="H85" s="209"/>
      <c r="I85" s="210"/>
      <c r="J85" s="209">
        <f t="shared" si="11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209">
        <f t="shared" si="10"/>
        <v>0</v>
      </c>
      <c r="E86" s="210"/>
      <c r="F86" s="210"/>
      <c r="G86" s="210"/>
      <c r="H86" s="209"/>
      <c r="I86" s="209"/>
      <c r="J86" s="209">
        <f t="shared" si="11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209">
        <f t="shared" si="10"/>
        <v>0</v>
      </c>
      <c r="E87" s="210"/>
      <c r="F87" s="210"/>
      <c r="G87" s="210"/>
      <c r="H87" s="210"/>
      <c r="I87" s="209"/>
      <c r="J87" s="209">
        <f t="shared" si="11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196">
        <f t="shared" si="10"/>
        <v>0</v>
      </c>
      <c r="E88" s="196"/>
      <c r="F88" s="196"/>
      <c r="G88" s="211"/>
      <c r="H88" s="211"/>
      <c r="I88" s="196"/>
      <c r="J88" s="196">
        <f t="shared" si="11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213">
        <f t="shared" si="10"/>
        <v>84775</v>
      </c>
      <c r="E89" s="215"/>
      <c r="F89" s="184">
        <f>июль!F89+август!F89+сентябрь!F89</f>
        <v>84775</v>
      </c>
      <c r="G89" s="209"/>
      <c r="H89" s="209"/>
      <c r="I89" s="196"/>
      <c r="J89" s="213">
        <f t="shared" si="11"/>
        <v>76212.399999999994</v>
      </c>
      <c r="K89" s="319"/>
      <c r="L89" s="184">
        <f>июль!L89+август!L89+сентябрь!L89</f>
        <v>76212.399999999994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209">
        <f t="shared" si="10"/>
        <v>0</v>
      </c>
      <c r="E90" s="210"/>
      <c r="F90" s="210"/>
      <c r="G90" s="209"/>
      <c r="H90" s="209"/>
      <c r="I90" s="210"/>
      <c r="J90" s="209">
        <f t="shared" si="11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209">
        <f t="shared" si="10"/>
        <v>0</v>
      </c>
      <c r="E91" s="210"/>
      <c r="F91" s="210"/>
      <c r="G91" s="210"/>
      <c r="H91" s="209"/>
      <c r="I91" s="209"/>
      <c r="J91" s="209">
        <f t="shared" si="11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209">
        <f t="shared" si="10"/>
        <v>0</v>
      </c>
      <c r="E92" s="210"/>
      <c r="F92" s="210"/>
      <c r="G92" s="210"/>
      <c r="H92" s="210"/>
      <c r="I92" s="209"/>
      <c r="J92" s="209">
        <f t="shared" si="11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196">
        <f t="shared" si="10"/>
        <v>0</v>
      </c>
      <c r="E93" s="196"/>
      <c r="F93" s="196"/>
      <c r="G93" s="196"/>
      <c r="H93" s="185"/>
      <c r="I93" s="196"/>
      <c r="J93" s="196">
        <f t="shared" si="11"/>
        <v>0</v>
      </c>
      <c r="K93" s="196"/>
      <c r="L93" s="196"/>
      <c r="M93" s="196"/>
      <c r="N93" s="196"/>
      <c r="O93" s="196"/>
    </row>
    <row r="94" spans="1:15" ht="13.5" thickTop="1" thickBot="1">
      <c r="A94" s="862"/>
      <c r="B94" s="182" t="s">
        <v>188</v>
      </c>
      <c r="C94" s="182" t="s">
        <v>99</v>
      </c>
      <c r="D94" s="196">
        <f t="shared" si="10"/>
        <v>0</v>
      </c>
      <c r="E94" s="196"/>
      <c r="F94" s="196"/>
      <c r="G94" s="196"/>
      <c r="H94" s="185"/>
      <c r="I94" s="196"/>
      <c r="J94" s="196">
        <f t="shared" si="11"/>
        <v>0</v>
      </c>
      <c r="K94" s="196"/>
      <c r="L94" s="196"/>
      <c r="M94" s="196"/>
      <c r="N94" s="185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>
        <f t="shared" ref="D95:D106" si="12">SUM(E95:I95)</f>
        <v>14670</v>
      </c>
      <c r="E95" s="284"/>
      <c r="F95" s="325"/>
      <c r="G95" s="284"/>
      <c r="H95" s="338">
        <f>июль!H95+август!H95+сентябрь!H95</f>
        <v>14670</v>
      </c>
      <c r="I95" s="284"/>
      <c r="J95" s="206">
        <f t="shared" ref="J95:J106" si="13">SUM(K95:O95)</f>
        <v>9875.6949999999997</v>
      </c>
      <c r="K95" s="284"/>
      <c r="L95" s="325"/>
      <c r="M95" s="214"/>
      <c r="N95" s="338">
        <f>июль!N95+август!N95+сентябрь!N95</f>
        <v>9875.6949999999997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2"/>
        <v>0</v>
      </c>
      <c r="E96" s="324"/>
      <c r="F96" s="324"/>
      <c r="G96" s="324"/>
      <c r="H96" s="693"/>
      <c r="I96" s="324"/>
      <c r="J96" s="196">
        <f t="shared" si="13"/>
        <v>0</v>
      </c>
      <c r="K96" s="196"/>
      <c r="L96" s="196"/>
      <c r="M96" s="196"/>
      <c r="N96" s="693"/>
      <c r="O96" s="196"/>
    </row>
    <row r="97" spans="1:15" ht="13.5" thickTop="1" thickBot="1">
      <c r="A97" s="862"/>
      <c r="B97" s="207"/>
      <c r="C97" s="208" t="s">
        <v>89</v>
      </c>
      <c r="D97" s="326">
        <f t="shared" si="12"/>
        <v>3450</v>
      </c>
      <c r="E97" s="327"/>
      <c r="F97" s="327"/>
      <c r="G97" s="326"/>
      <c r="H97" s="338">
        <f>июль!H97+август!H97+сентябрь!H97</f>
        <v>3450</v>
      </c>
      <c r="I97" s="327"/>
      <c r="J97" s="209">
        <f t="shared" si="13"/>
        <v>2828.3679999999999</v>
      </c>
      <c r="K97" s="210"/>
      <c r="L97" s="210"/>
      <c r="M97" s="209"/>
      <c r="N97" s="338">
        <f>июль!N97+август!N97+сентябрь!N97</f>
        <v>2828.3679999999999</v>
      </c>
      <c r="O97" s="210"/>
    </row>
    <row r="98" spans="1:15" ht="13.5" thickTop="1" thickBot="1">
      <c r="A98" s="862"/>
      <c r="B98" s="207"/>
      <c r="C98" s="208" t="s">
        <v>90</v>
      </c>
      <c r="D98" s="326">
        <f t="shared" si="12"/>
        <v>7450</v>
      </c>
      <c r="E98" s="327"/>
      <c r="F98" s="327"/>
      <c r="G98" s="327"/>
      <c r="H98" s="338">
        <f>июль!H98+август!H98+сентябрь!H98</f>
        <v>7450</v>
      </c>
      <c r="I98" s="326"/>
      <c r="J98" s="209">
        <f t="shared" si="13"/>
        <v>2966.7049999999999</v>
      </c>
      <c r="K98" s="210"/>
      <c r="L98" s="210"/>
      <c r="M98" s="210"/>
      <c r="N98" s="338">
        <f>июль!N98+август!N98+сентябрь!N98</f>
        <v>2966.7049999999999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2"/>
        <v>0</v>
      </c>
      <c r="E99" s="327"/>
      <c r="F99" s="327"/>
      <c r="G99" s="327"/>
      <c r="H99" s="327"/>
      <c r="I99" s="326"/>
      <c r="J99" s="209">
        <f t="shared" si="13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2"/>
        <v>0</v>
      </c>
      <c r="E100" s="324"/>
      <c r="F100" s="324"/>
      <c r="G100" s="328"/>
      <c r="H100" s="184"/>
      <c r="I100" s="324"/>
      <c r="J100" s="196">
        <f t="shared" si="13"/>
        <v>0</v>
      </c>
      <c r="K100" s="196"/>
      <c r="L100" s="196"/>
      <c r="M100" s="211"/>
      <c r="N100" s="211"/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2"/>
        <v>0</v>
      </c>
      <c r="E101" s="380"/>
      <c r="F101" s="331"/>
      <c r="G101" s="326"/>
      <c r="H101" s="326"/>
      <c r="I101" s="324"/>
      <c r="J101" s="213">
        <f t="shared" si="13"/>
        <v>0</v>
      </c>
      <c r="K101" s="383"/>
      <c r="L101" s="320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2"/>
        <v>0</v>
      </c>
      <c r="E102" s="327"/>
      <c r="F102" s="327"/>
      <c r="G102" s="326"/>
      <c r="H102" s="326"/>
      <c r="I102" s="327"/>
      <c r="J102" s="209">
        <f t="shared" si="13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2"/>
        <v>0</v>
      </c>
      <c r="E103" s="327"/>
      <c r="F103" s="327"/>
      <c r="G103" s="327"/>
      <c r="H103" s="326"/>
      <c r="I103" s="326"/>
      <c r="J103" s="209">
        <f t="shared" si="13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2"/>
        <v>0</v>
      </c>
      <c r="E104" s="327"/>
      <c r="F104" s="327"/>
      <c r="G104" s="327"/>
      <c r="H104" s="327"/>
      <c r="I104" s="326"/>
      <c r="J104" s="209">
        <f t="shared" si="13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2"/>
        <v>0</v>
      </c>
      <c r="E105" s="324"/>
      <c r="F105" s="324"/>
      <c r="G105" s="324"/>
      <c r="H105" s="323"/>
      <c r="I105" s="324"/>
      <c r="J105" s="196">
        <f t="shared" si="13"/>
        <v>0</v>
      </c>
      <c r="K105" s="196"/>
      <c r="L105" s="196"/>
      <c r="M105" s="196"/>
      <c r="N105" s="185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2"/>
        <v>0</v>
      </c>
      <c r="E106" s="324"/>
      <c r="F106" s="324"/>
      <c r="G106" s="324"/>
      <c r="H106" s="323"/>
      <c r="I106" s="324"/>
      <c r="J106" s="196">
        <f t="shared" si="13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>
        <f t="shared" ref="D107:D118" si="14">SUM(E107:I107)</f>
        <v>0</v>
      </c>
      <c r="E107" s="284"/>
      <c r="F107" s="325"/>
      <c r="G107" s="284"/>
      <c r="H107" s="338">
        <f>июль!H107+август!H107+сентябрь!H107</f>
        <v>0</v>
      </c>
      <c r="I107" s="284"/>
      <c r="J107" s="206">
        <f t="shared" ref="J107:J118" si="15">SUM(K107:O107)</f>
        <v>1938.615</v>
      </c>
      <c r="K107" s="284"/>
      <c r="L107" s="325"/>
      <c r="M107" s="214"/>
      <c r="N107" s="338">
        <f>июль!N107+август!N107+сентябрь!N107</f>
        <v>1938.615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4"/>
        <v>0</v>
      </c>
      <c r="E108" s="324"/>
      <c r="F108" s="324"/>
      <c r="G108" s="324"/>
      <c r="H108" s="324"/>
      <c r="I108" s="324"/>
      <c r="J108" s="196">
        <f t="shared" si="15"/>
        <v>0</v>
      </c>
      <c r="K108" s="196"/>
      <c r="L108" s="196"/>
      <c r="M108" s="196"/>
      <c r="N108" s="196"/>
      <c r="O108" s="196"/>
    </row>
    <row r="109" spans="1:15" ht="13.5" thickTop="1" thickBot="1">
      <c r="A109" s="862"/>
      <c r="B109" s="207"/>
      <c r="C109" s="208" t="s">
        <v>89</v>
      </c>
      <c r="D109" s="326">
        <f t="shared" si="14"/>
        <v>0</v>
      </c>
      <c r="E109" s="327"/>
      <c r="F109" s="327"/>
      <c r="G109" s="326"/>
      <c r="H109" s="338">
        <f>июль!H109+август!H109+сентябрь!H109</f>
        <v>0</v>
      </c>
      <c r="I109" s="327"/>
      <c r="J109" s="209">
        <f t="shared" si="15"/>
        <v>1938.615</v>
      </c>
      <c r="K109" s="210"/>
      <c r="L109" s="210"/>
      <c r="M109" s="209"/>
      <c r="N109" s="338">
        <f>июль!N109+август!N109+сентябрь!N109</f>
        <v>1938.615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4"/>
        <v>0</v>
      </c>
      <c r="E110" s="327"/>
      <c r="F110" s="327"/>
      <c r="G110" s="327"/>
      <c r="H110" s="339"/>
      <c r="I110" s="326"/>
      <c r="J110" s="209">
        <f t="shared" si="15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4"/>
        <v>0</v>
      </c>
      <c r="E111" s="327"/>
      <c r="F111" s="327"/>
      <c r="G111" s="327"/>
      <c r="H111" s="327"/>
      <c r="I111" s="326"/>
      <c r="J111" s="209">
        <f t="shared" si="15"/>
        <v>0</v>
      </c>
      <c r="K111" s="210"/>
      <c r="L111" s="210"/>
      <c r="M111" s="210"/>
      <c r="N111" s="210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4"/>
        <v>0</v>
      </c>
      <c r="E112" s="324"/>
      <c r="F112" s="324"/>
      <c r="G112" s="328"/>
      <c r="H112" s="328"/>
      <c r="I112" s="324"/>
      <c r="J112" s="196">
        <f t="shared" si="15"/>
        <v>0</v>
      </c>
      <c r="K112" s="196"/>
      <c r="L112" s="196"/>
      <c r="M112" s="211"/>
      <c r="N112" s="211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4"/>
        <v>0</v>
      </c>
      <c r="E113" s="380"/>
      <c r="F113" s="331"/>
      <c r="G113" s="326"/>
      <c r="H113" s="326"/>
      <c r="I113" s="324"/>
      <c r="J113" s="213">
        <f t="shared" si="15"/>
        <v>0</v>
      </c>
      <c r="K113" s="383"/>
      <c r="L113" s="320"/>
      <c r="M113" s="209"/>
      <c r="N113" s="209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4"/>
        <v>0</v>
      </c>
      <c r="E114" s="327"/>
      <c r="F114" s="327"/>
      <c r="G114" s="326"/>
      <c r="H114" s="326"/>
      <c r="I114" s="327"/>
      <c r="J114" s="209">
        <f t="shared" si="15"/>
        <v>0</v>
      </c>
      <c r="K114" s="210"/>
      <c r="L114" s="210"/>
      <c r="M114" s="209"/>
      <c r="N114" s="209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4"/>
        <v>0</v>
      </c>
      <c r="E115" s="327"/>
      <c r="F115" s="327"/>
      <c r="G115" s="327"/>
      <c r="H115" s="326"/>
      <c r="I115" s="326"/>
      <c r="J115" s="209">
        <f t="shared" si="15"/>
        <v>0</v>
      </c>
      <c r="K115" s="210"/>
      <c r="L115" s="210"/>
      <c r="M115" s="210"/>
      <c r="N115" s="209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4"/>
        <v>0</v>
      </c>
      <c r="E116" s="327"/>
      <c r="F116" s="327"/>
      <c r="G116" s="327"/>
      <c r="H116" s="327"/>
      <c r="I116" s="326"/>
      <c r="J116" s="209">
        <f t="shared" si="15"/>
        <v>0</v>
      </c>
      <c r="K116" s="210"/>
      <c r="L116" s="210"/>
      <c r="M116" s="210"/>
      <c r="N116" s="210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4"/>
        <v>0</v>
      </c>
      <c r="E117" s="324"/>
      <c r="F117" s="324"/>
      <c r="G117" s="324"/>
      <c r="H117" s="324"/>
      <c r="I117" s="324"/>
      <c r="J117" s="196">
        <f t="shared" si="15"/>
        <v>0</v>
      </c>
      <c r="K117" s="196"/>
      <c r="L117" s="196"/>
      <c r="M117" s="196"/>
      <c r="N117" s="185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4"/>
        <v>0</v>
      </c>
      <c r="E118" s="324"/>
      <c r="F118" s="324"/>
      <c r="G118" s="324"/>
      <c r="H118" s="323"/>
      <c r="I118" s="324"/>
      <c r="J118" s="196">
        <f t="shared" si="15"/>
        <v>0</v>
      </c>
      <c r="K118" s="196"/>
      <c r="L118" s="196"/>
      <c r="M118" s="196"/>
      <c r="N118" s="196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>
        <f t="shared" ref="D119:D130" si="16">SUM(E119:I119)</f>
        <v>0</v>
      </c>
      <c r="E119" s="284"/>
      <c r="F119" s="325"/>
      <c r="G119" s="284"/>
      <c r="H119" s="338">
        <f>июль!H119+август!H119+сентябрь!H119</f>
        <v>0</v>
      </c>
      <c r="I119" s="284"/>
      <c r="J119" s="206">
        <f t="shared" ref="J119:J130" si="17">SUM(K119:O119)</f>
        <v>1105.6870000000001</v>
      </c>
      <c r="K119" s="284"/>
      <c r="L119" s="325"/>
      <c r="M119" s="214"/>
      <c r="N119" s="338">
        <f>июль!N119+август!N119+сентябрь!N119</f>
        <v>1105.6870000000001</v>
      </c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16"/>
        <v>0</v>
      </c>
      <c r="E120" s="324"/>
      <c r="F120" s="324"/>
      <c r="G120" s="324"/>
      <c r="H120" s="196"/>
      <c r="I120" s="324"/>
      <c r="J120" s="196">
        <f t="shared" si="17"/>
        <v>0</v>
      </c>
      <c r="K120" s="196"/>
      <c r="L120" s="196"/>
      <c r="M120" s="196"/>
      <c r="N120" s="196"/>
      <c r="O120" s="196"/>
    </row>
    <row r="121" spans="1:15" ht="13.5" thickTop="1" thickBot="1">
      <c r="A121" s="862"/>
      <c r="B121" s="207"/>
      <c r="C121" s="208" t="s">
        <v>89</v>
      </c>
      <c r="D121" s="326">
        <f t="shared" si="16"/>
        <v>0</v>
      </c>
      <c r="E121" s="327"/>
      <c r="F121" s="327"/>
      <c r="G121" s="326"/>
      <c r="H121" s="338">
        <f>июль!H121+август!H121+сентябрь!H121</f>
        <v>0</v>
      </c>
      <c r="I121" s="327"/>
      <c r="J121" s="209">
        <f t="shared" si="17"/>
        <v>1105.6870000000001</v>
      </c>
      <c r="K121" s="210"/>
      <c r="L121" s="210"/>
      <c r="M121" s="209"/>
      <c r="N121" s="338">
        <f>июль!N121+август!N121+сентябрь!N121</f>
        <v>1105.6870000000001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16"/>
        <v>0</v>
      </c>
      <c r="E122" s="327"/>
      <c r="F122" s="327"/>
      <c r="G122" s="327"/>
      <c r="H122" s="339"/>
      <c r="I122" s="326"/>
      <c r="J122" s="209">
        <f t="shared" si="17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16"/>
        <v>0</v>
      </c>
      <c r="E123" s="327"/>
      <c r="F123" s="327"/>
      <c r="G123" s="327"/>
      <c r="H123" s="327"/>
      <c r="I123" s="326"/>
      <c r="J123" s="209">
        <f t="shared" si="17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16"/>
        <v>0</v>
      </c>
      <c r="E124" s="324"/>
      <c r="F124" s="324"/>
      <c r="G124" s="328"/>
      <c r="H124" s="328"/>
      <c r="I124" s="324"/>
      <c r="J124" s="196">
        <f t="shared" si="17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16"/>
        <v>0</v>
      </c>
      <c r="E125" s="380"/>
      <c r="F125" s="331"/>
      <c r="G125" s="326"/>
      <c r="H125" s="326"/>
      <c r="I125" s="324"/>
      <c r="J125" s="213">
        <f t="shared" si="17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16"/>
        <v>0</v>
      </c>
      <c r="E126" s="327"/>
      <c r="F126" s="327"/>
      <c r="G126" s="326"/>
      <c r="H126" s="326"/>
      <c r="I126" s="327"/>
      <c r="J126" s="209">
        <f t="shared" si="17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16"/>
        <v>0</v>
      </c>
      <c r="E127" s="327"/>
      <c r="F127" s="327"/>
      <c r="G127" s="327"/>
      <c r="H127" s="326"/>
      <c r="I127" s="326"/>
      <c r="J127" s="209">
        <f t="shared" si="17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16"/>
        <v>0</v>
      </c>
      <c r="E128" s="327"/>
      <c r="F128" s="327"/>
      <c r="G128" s="327"/>
      <c r="H128" s="327"/>
      <c r="I128" s="326"/>
      <c r="J128" s="209">
        <f t="shared" si="17"/>
        <v>0</v>
      </c>
      <c r="K128" s="210"/>
      <c r="L128" s="210"/>
      <c r="M128" s="210"/>
      <c r="N128" s="210"/>
      <c r="O128" s="209"/>
    </row>
    <row r="129" spans="1:16" ht="13.5" thickTop="1" thickBot="1">
      <c r="A129" s="862"/>
      <c r="B129" s="182" t="s">
        <v>246</v>
      </c>
      <c r="C129" s="182" t="s">
        <v>97</v>
      </c>
      <c r="D129" s="324">
        <f t="shared" si="16"/>
        <v>0</v>
      </c>
      <c r="E129" s="324"/>
      <c r="F129" s="324"/>
      <c r="G129" s="324"/>
      <c r="H129" s="324"/>
      <c r="I129" s="324"/>
      <c r="J129" s="196">
        <f t="shared" si="17"/>
        <v>0</v>
      </c>
      <c r="K129" s="196"/>
      <c r="L129" s="196"/>
      <c r="M129" s="196"/>
      <c r="N129" s="185"/>
      <c r="O129" s="196"/>
    </row>
    <row r="130" spans="1:16" ht="13.5" thickTop="1" thickBot="1">
      <c r="A130" s="862"/>
      <c r="B130" s="182" t="s">
        <v>247</v>
      </c>
      <c r="C130" s="182" t="s">
        <v>99</v>
      </c>
      <c r="D130" s="324">
        <f t="shared" si="16"/>
        <v>0</v>
      </c>
      <c r="E130" s="324"/>
      <c r="F130" s="324"/>
      <c r="G130" s="324"/>
      <c r="H130" s="323"/>
      <c r="I130" s="324"/>
      <c r="J130" s="196">
        <f t="shared" si="17"/>
        <v>0</v>
      </c>
      <c r="K130" s="196"/>
      <c r="L130" s="196"/>
      <c r="M130" s="196"/>
      <c r="N130" s="196"/>
      <c r="O130" s="196"/>
    </row>
    <row r="131" spans="1:16" ht="13.5" thickTop="1" thickBot="1">
      <c r="A131" s="862"/>
      <c r="B131" s="204" t="s">
        <v>250</v>
      </c>
      <c r="C131" s="595" t="s">
        <v>249</v>
      </c>
      <c r="D131" s="325">
        <f t="shared" ref="D131:D142" si="18">SUM(E131:I131)</f>
        <v>0</v>
      </c>
      <c r="E131" s="284"/>
      <c r="F131" s="325"/>
      <c r="G131" s="284"/>
      <c r="H131" s="338">
        <f>июль!H131+август!H131+сентябрь!H131</f>
        <v>0</v>
      </c>
      <c r="I131" s="338">
        <f>июль!I131+август!I131+сентябрь!I131</f>
        <v>0</v>
      </c>
      <c r="J131" s="206">
        <f t="shared" ref="J131:J142" si="19">SUM(K131:O131)</f>
        <v>248.56800000000001</v>
      </c>
      <c r="K131" s="284"/>
      <c r="L131" s="325"/>
      <c r="M131" s="214"/>
      <c r="N131" s="338">
        <f>июль!N131+август!N131+сентябрь!N131</f>
        <v>181.78700000000001</v>
      </c>
      <c r="O131" s="338">
        <f>июль!O131+август!O131+сентябрь!O131</f>
        <v>66.781000000000006</v>
      </c>
    </row>
    <row r="132" spans="1:16" ht="13.5" thickTop="1" thickBot="1">
      <c r="A132" s="862"/>
      <c r="B132" s="182" t="s">
        <v>251</v>
      </c>
      <c r="C132" s="182" t="s">
        <v>88</v>
      </c>
      <c r="D132" s="324">
        <f t="shared" si="18"/>
        <v>0</v>
      </c>
      <c r="E132" s="324"/>
      <c r="F132" s="324"/>
      <c r="G132" s="324"/>
      <c r="H132" s="324"/>
      <c r="I132" s="324"/>
      <c r="J132" s="196">
        <f t="shared" si="19"/>
        <v>0</v>
      </c>
      <c r="K132" s="196"/>
      <c r="L132" s="196"/>
      <c r="M132" s="196"/>
      <c r="N132" s="196"/>
      <c r="O132" s="196"/>
    </row>
    <row r="133" spans="1:16" ht="13.5" thickTop="1" thickBot="1">
      <c r="A133" s="862"/>
      <c r="B133" s="207"/>
      <c r="C133" s="208" t="s">
        <v>89</v>
      </c>
      <c r="D133" s="326">
        <f t="shared" si="18"/>
        <v>0</v>
      </c>
      <c r="E133" s="327"/>
      <c r="F133" s="327"/>
      <c r="G133" s="326"/>
      <c r="H133" s="339"/>
      <c r="I133" s="327"/>
      <c r="J133" s="209">
        <f t="shared" si="19"/>
        <v>0</v>
      </c>
      <c r="K133" s="210"/>
      <c r="L133" s="210"/>
      <c r="M133" s="209"/>
      <c r="N133" s="339"/>
      <c r="O133" s="210"/>
    </row>
    <row r="134" spans="1:16" ht="13.5" thickTop="1" thickBot="1">
      <c r="A134" s="862"/>
      <c r="B134" s="207"/>
      <c r="C134" s="208" t="s">
        <v>90</v>
      </c>
      <c r="D134" s="326">
        <f t="shared" si="18"/>
        <v>0</v>
      </c>
      <c r="E134" s="327"/>
      <c r="F134" s="327"/>
      <c r="G134" s="327"/>
      <c r="H134" s="339"/>
      <c r="I134" s="326"/>
      <c r="J134" s="209">
        <f t="shared" si="19"/>
        <v>0</v>
      </c>
      <c r="K134" s="210"/>
      <c r="L134" s="210"/>
      <c r="M134" s="210"/>
      <c r="N134" s="699"/>
      <c r="O134" s="209"/>
    </row>
    <row r="135" spans="1:16" ht="13.5" thickTop="1" thickBot="1">
      <c r="A135" s="862"/>
      <c r="B135" s="207"/>
      <c r="C135" s="208" t="s">
        <v>91</v>
      </c>
      <c r="D135" s="326">
        <f t="shared" si="18"/>
        <v>0</v>
      </c>
      <c r="E135" s="327"/>
      <c r="F135" s="327"/>
      <c r="G135" s="327"/>
      <c r="H135" s="327"/>
      <c r="I135" s="326"/>
      <c r="J135" s="209">
        <f t="shared" si="19"/>
        <v>0</v>
      </c>
      <c r="K135" s="210"/>
      <c r="L135" s="210"/>
      <c r="M135" s="210"/>
      <c r="N135" s="210"/>
      <c r="O135" s="209"/>
    </row>
    <row r="136" spans="1:16" ht="13.5" thickTop="1" thickBot="1">
      <c r="A136" s="862"/>
      <c r="B136" s="182" t="s">
        <v>252</v>
      </c>
      <c r="C136" s="182" t="s">
        <v>93</v>
      </c>
      <c r="D136" s="324">
        <f t="shared" si="18"/>
        <v>0</v>
      </c>
      <c r="E136" s="324"/>
      <c r="F136" s="324"/>
      <c r="G136" s="328"/>
      <c r="H136" s="328"/>
      <c r="I136" s="324"/>
      <c r="J136" s="196">
        <f t="shared" si="19"/>
        <v>0</v>
      </c>
      <c r="K136" s="196"/>
      <c r="L136" s="196"/>
      <c r="M136" s="211"/>
      <c r="N136" s="211"/>
      <c r="O136" s="196"/>
    </row>
    <row r="137" spans="1:16" ht="13.5" thickTop="1" thickBot="1">
      <c r="A137" s="862"/>
      <c r="B137" s="182" t="s">
        <v>253</v>
      </c>
      <c r="C137" s="182" t="s">
        <v>95</v>
      </c>
      <c r="D137" s="330">
        <f t="shared" si="18"/>
        <v>0</v>
      </c>
      <c r="E137" s="380"/>
      <c r="F137" s="331"/>
      <c r="G137" s="326"/>
      <c r="H137" s="326"/>
      <c r="I137" s="324"/>
      <c r="J137" s="213">
        <f t="shared" si="19"/>
        <v>0</v>
      </c>
      <c r="K137" s="383"/>
      <c r="L137" s="320"/>
      <c r="M137" s="209"/>
      <c r="N137" s="209"/>
      <c r="O137" s="196"/>
    </row>
    <row r="138" spans="1:16" ht="13.5" thickTop="1" thickBot="1">
      <c r="A138" s="862"/>
      <c r="B138" s="207"/>
      <c r="C138" s="208" t="s">
        <v>89</v>
      </c>
      <c r="D138" s="326">
        <f t="shared" si="18"/>
        <v>0</v>
      </c>
      <c r="E138" s="327"/>
      <c r="F138" s="327"/>
      <c r="G138" s="326"/>
      <c r="H138" s="326"/>
      <c r="I138" s="327"/>
      <c r="J138" s="209">
        <f t="shared" si="19"/>
        <v>0</v>
      </c>
      <c r="K138" s="210"/>
      <c r="L138" s="210"/>
      <c r="M138" s="209"/>
      <c r="N138" s="209"/>
      <c r="O138" s="210"/>
    </row>
    <row r="139" spans="1:16" ht="13.5" thickTop="1" thickBot="1">
      <c r="A139" s="862"/>
      <c r="B139" s="207"/>
      <c r="C139" s="208" t="s">
        <v>90</v>
      </c>
      <c r="D139" s="326">
        <f t="shared" si="18"/>
        <v>0</v>
      </c>
      <c r="E139" s="327"/>
      <c r="F139" s="327"/>
      <c r="G139" s="327"/>
      <c r="H139" s="326"/>
      <c r="I139" s="326"/>
      <c r="J139" s="209">
        <f t="shared" si="19"/>
        <v>0</v>
      </c>
      <c r="K139" s="210"/>
      <c r="L139" s="210"/>
      <c r="M139" s="210"/>
      <c r="N139" s="209"/>
      <c r="O139" s="209"/>
    </row>
    <row r="140" spans="1:16" ht="13.5" thickTop="1" thickBot="1">
      <c r="A140" s="862"/>
      <c r="B140" s="207"/>
      <c r="C140" s="208" t="s">
        <v>91</v>
      </c>
      <c r="D140" s="326">
        <f t="shared" si="18"/>
        <v>0</v>
      </c>
      <c r="E140" s="327"/>
      <c r="F140" s="327"/>
      <c r="G140" s="327"/>
      <c r="H140" s="327"/>
      <c r="I140" s="326"/>
      <c r="J140" s="209">
        <f t="shared" si="19"/>
        <v>0</v>
      </c>
      <c r="K140" s="210"/>
      <c r="L140" s="210"/>
      <c r="M140" s="210"/>
      <c r="N140" s="210"/>
      <c r="O140" s="209"/>
    </row>
    <row r="141" spans="1:16" ht="13.5" thickTop="1" thickBot="1">
      <c r="A141" s="862"/>
      <c r="B141" s="182" t="s">
        <v>254</v>
      </c>
      <c r="C141" s="182" t="s">
        <v>97</v>
      </c>
      <c r="D141" s="324">
        <f t="shared" si="18"/>
        <v>0</v>
      </c>
      <c r="E141" s="324"/>
      <c r="F141" s="324"/>
      <c r="G141" s="324"/>
      <c r="H141" s="324"/>
      <c r="I141" s="324"/>
      <c r="J141" s="196">
        <f t="shared" si="19"/>
        <v>0</v>
      </c>
      <c r="K141" s="196"/>
      <c r="L141" s="196"/>
      <c r="M141" s="196"/>
      <c r="N141" s="185"/>
      <c r="O141" s="196"/>
    </row>
    <row r="142" spans="1:16" ht="13.5" thickTop="1" thickBot="1">
      <c r="A142" s="862"/>
      <c r="B142" s="182" t="s">
        <v>255</v>
      </c>
      <c r="C142" s="182" t="s">
        <v>99</v>
      </c>
      <c r="D142" s="324">
        <f t="shared" si="18"/>
        <v>0</v>
      </c>
      <c r="E142" s="324"/>
      <c r="F142" s="324"/>
      <c r="G142" s="324"/>
      <c r="H142" s="323"/>
      <c r="I142" s="324"/>
      <c r="J142" s="196">
        <f t="shared" si="19"/>
        <v>0</v>
      </c>
      <c r="K142" s="196"/>
      <c r="L142" s="196"/>
      <c r="M142" s="196"/>
      <c r="N142" s="196"/>
      <c r="O142" s="196"/>
    </row>
    <row r="143" spans="1:16" ht="12.75" customHeight="1" thickTop="1" thickBot="1">
      <c r="A143" s="862"/>
      <c r="B143" s="179" t="s">
        <v>100</v>
      </c>
      <c r="C143" s="179" t="s">
        <v>101</v>
      </c>
      <c r="D143" s="181">
        <f t="shared" si="10"/>
        <v>847901.4</v>
      </c>
      <c r="E143" s="233">
        <f>SUM(E144:E147)</f>
        <v>0</v>
      </c>
      <c r="F143" s="233">
        <f>SUM(F144:F147)</f>
        <v>265090</v>
      </c>
      <c r="G143" s="233">
        <f>SUM(G144:G147)</f>
        <v>14490</v>
      </c>
      <c r="H143" s="233">
        <f>SUM(H144:H147)</f>
        <v>193570.7</v>
      </c>
      <c r="I143" s="181">
        <f>SUM(I144:I147)</f>
        <v>374750.7</v>
      </c>
      <c r="J143" s="181">
        <f t="shared" si="11"/>
        <v>734558.61199999996</v>
      </c>
      <c r="K143" s="233">
        <f>SUM(K144:K147)</f>
        <v>0</v>
      </c>
      <c r="L143" s="233">
        <f>SUM(L144:L147)</f>
        <v>263731.41800000001</v>
      </c>
      <c r="M143" s="233">
        <f>SUM(M144:M147)</f>
        <v>5685.009</v>
      </c>
      <c r="N143" s="233">
        <f>SUM(N144:N147)</f>
        <v>181605.65299999999</v>
      </c>
      <c r="O143" s="181">
        <f>SUM(O144:O147)</f>
        <v>283536.53200000001</v>
      </c>
      <c r="P143" s="24"/>
    </row>
    <row r="144" spans="1:16" ht="12.75" customHeight="1" thickTop="1" thickBot="1">
      <c r="A144" s="862"/>
      <c r="B144" s="186" t="s">
        <v>102</v>
      </c>
      <c r="C144" s="187" t="s">
        <v>103</v>
      </c>
      <c r="D144" s="217">
        <f t="shared" si="10"/>
        <v>254643.95736</v>
      </c>
      <c r="E144" s="235"/>
      <c r="F144" s="235"/>
      <c r="G144" s="235"/>
      <c r="H144" s="235"/>
      <c r="I144" s="184">
        <f>июль!I144+август!I144+сентябрь!I144</f>
        <v>254643.95736</v>
      </c>
      <c r="J144" s="218">
        <f t="shared" si="11"/>
        <v>206408.99800000002</v>
      </c>
      <c r="K144" s="235"/>
      <c r="L144" s="235"/>
      <c r="M144" s="235"/>
      <c r="N144" s="235"/>
      <c r="O144" s="184">
        <f>июль!O144+август!O144+сентябрь!O144</f>
        <v>206408.99800000002</v>
      </c>
      <c r="P144" s="24"/>
    </row>
    <row r="145" spans="1:19" ht="12.75" customHeight="1" thickTop="1" thickBot="1">
      <c r="A145" s="862"/>
      <c r="B145" s="186" t="s">
        <v>104</v>
      </c>
      <c r="C145" s="187" t="s">
        <v>206</v>
      </c>
      <c r="D145" s="217">
        <f t="shared" si="10"/>
        <v>0</v>
      </c>
      <c r="E145" s="235"/>
      <c r="F145" s="235"/>
      <c r="G145" s="235"/>
      <c r="H145" s="235"/>
      <c r="I145" s="184">
        <f>июль!I145+август!I145+сентябрь!I145</f>
        <v>0</v>
      </c>
      <c r="J145" s="218">
        <f t="shared" si="11"/>
        <v>0</v>
      </c>
      <c r="K145" s="235"/>
      <c r="L145" s="235"/>
      <c r="M145" s="235"/>
      <c r="N145" s="235"/>
      <c r="O145" s="184"/>
      <c r="P145" s="24"/>
    </row>
    <row r="146" spans="1:19" ht="12.75" customHeight="1" thickTop="1" thickBot="1">
      <c r="A146" s="862"/>
      <c r="B146" s="186" t="s">
        <v>106</v>
      </c>
      <c r="C146" s="187" t="s">
        <v>105</v>
      </c>
      <c r="D146" s="217">
        <f t="shared" si="10"/>
        <v>593257.44264000002</v>
      </c>
      <c r="E146" s="184">
        <f>июль!E146+август!E146+сентябрь!E146</f>
        <v>0</v>
      </c>
      <c r="F146" s="184">
        <f>июль!F146+август!F146+сентябрь!F146</f>
        <v>265090</v>
      </c>
      <c r="G146" s="184">
        <f>июль!G146+август!G146+сентябрь!G146</f>
        <v>14490</v>
      </c>
      <c r="H146" s="184">
        <f>июль!H146+август!H146+сентябрь!H146</f>
        <v>193570.7</v>
      </c>
      <c r="I146" s="184">
        <f>июль!I146+август!I146+сентябрь!I146</f>
        <v>120106.74264000001</v>
      </c>
      <c r="J146" s="218">
        <f t="shared" si="11"/>
        <v>470623.62100000004</v>
      </c>
      <c r="K146" s="184">
        <f>июль!K146+август!K146+сентябрь!K146</f>
        <v>0</v>
      </c>
      <c r="L146" s="184">
        <f>июль!L146+август!L146+сентябрь!L146</f>
        <v>258622.86800000002</v>
      </c>
      <c r="M146" s="184">
        <f>июль!M146+август!M146+сентябрь!M146</f>
        <v>5424.5910000000003</v>
      </c>
      <c r="N146" s="184">
        <f>июль!N146+август!N146+сентябрь!N146</f>
        <v>145346.785</v>
      </c>
      <c r="O146" s="184">
        <f>июль!O146+август!O146+сентябрь!O146</f>
        <v>61229.377000000008</v>
      </c>
    </row>
    <row r="147" spans="1:19" ht="12.75" customHeight="1" thickTop="1" thickBot="1">
      <c r="A147" s="862"/>
      <c r="B147" s="186" t="s">
        <v>207</v>
      </c>
      <c r="C147" s="187" t="s">
        <v>107</v>
      </c>
      <c r="D147" s="217">
        <f t="shared" si="10"/>
        <v>0</v>
      </c>
      <c r="E147" s="184">
        <f>июль!E147+август!E147+сентябрь!E147</f>
        <v>0</v>
      </c>
      <c r="F147" s="184">
        <f>июль!F147+август!F147+сентябрь!F147</f>
        <v>0</v>
      </c>
      <c r="G147" s="184">
        <f>июль!G147+август!G147+сентябрь!G147</f>
        <v>0</v>
      </c>
      <c r="H147" s="184">
        <f>июль!H147+август!H147+сентябрь!H147</f>
        <v>0</v>
      </c>
      <c r="I147" s="184">
        <f>июль!I147+август!I147+сентябрь!I147</f>
        <v>0</v>
      </c>
      <c r="J147" s="218">
        <f t="shared" si="11"/>
        <v>57525.993000000002</v>
      </c>
      <c r="K147" s="184">
        <f>июль!K147+август!K147+сентябрь!K147</f>
        <v>0</v>
      </c>
      <c r="L147" s="184">
        <f>июль!L147+август!L147+сентябрь!L147</f>
        <v>5108.55</v>
      </c>
      <c r="M147" s="184">
        <f>июль!M147+август!M147+сентябрь!M147</f>
        <v>260.41800000000001</v>
      </c>
      <c r="N147" s="184">
        <f>июль!N147+август!N147+сентябрь!N147</f>
        <v>36258.868000000002</v>
      </c>
      <c r="O147" s="184">
        <f>июль!O147+август!O147+сентябрь!O147</f>
        <v>15898.156999999999</v>
      </c>
    </row>
    <row r="148" spans="1:19" ht="12.75" customHeight="1" thickTop="1" thickBot="1">
      <c r="A148" s="862"/>
      <c r="B148" s="186" t="s">
        <v>108</v>
      </c>
      <c r="C148" s="186" t="s">
        <v>208</v>
      </c>
      <c r="D148" s="291">
        <f>D150/1.18/D143</f>
        <v>1.2913054569053464</v>
      </c>
      <c r="E148" s="596">
        <v>0.74472999999999989</v>
      </c>
      <c r="F148" s="596">
        <v>0.74472999999999989</v>
      </c>
      <c r="G148" s="596">
        <v>0.96691000000000005</v>
      </c>
      <c r="H148" s="596">
        <v>1.55636</v>
      </c>
      <c r="I148" s="596">
        <v>2.20207</v>
      </c>
      <c r="J148" s="291">
        <f>J150/1.18/J143</f>
        <v>1.2645751081331</v>
      </c>
      <c r="K148" s="596">
        <v>0.74628866982393449</v>
      </c>
      <c r="L148" s="596">
        <v>0.74628866982393449</v>
      </c>
      <c r="M148" s="596">
        <v>0.9212916584652725</v>
      </c>
      <c r="N148" s="596">
        <v>1.5446350608920747</v>
      </c>
      <c r="O148" s="596">
        <v>2.213854046208712</v>
      </c>
    </row>
    <row r="149" spans="1:19" ht="12.75" customHeight="1" thickTop="1" thickBot="1">
      <c r="A149" s="862"/>
      <c r="B149" s="186" t="s">
        <v>205</v>
      </c>
      <c r="C149" s="186" t="s">
        <v>208</v>
      </c>
      <c r="D149" s="291"/>
      <c r="E149" s="289"/>
      <c r="F149" s="290"/>
      <c r="G149" s="290"/>
      <c r="H149" s="290"/>
      <c r="I149" s="598">
        <v>1.3805600000000002</v>
      </c>
      <c r="J149" s="291"/>
      <c r="K149" s="289"/>
      <c r="L149" s="290"/>
      <c r="M149" s="290"/>
      <c r="N149" s="290"/>
      <c r="O149" s="598">
        <v>1.5111272942180551</v>
      </c>
    </row>
    <row r="150" spans="1:19" ht="12.75" customHeight="1" thickTop="1" thickBot="1">
      <c r="A150" s="862"/>
      <c r="B150" s="186" t="s">
        <v>109</v>
      </c>
      <c r="C150" s="219" t="s">
        <v>166</v>
      </c>
      <c r="D150" s="285">
        <f>SUM(E150:I150)</f>
        <v>1291981.6515904656</v>
      </c>
      <c r="E150" s="620">
        <f>июль!E150+август!E150+сентябрь!E150</f>
        <v>0</v>
      </c>
      <c r="F150" s="620">
        <f>июль!F150+август!F150+сентябрь!F150</f>
        <v>193034.74582404579</v>
      </c>
      <c r="G150" s="620">
        <f>июль!G150+август!G150+сентябрь!G150</f>
        <v>16532.420561999999</v>
      </c>
      <c r="H150" s="620">
        <f>июль!H150+август!H150+сентябрь!H150</f>
        <v>355493.51968935994</v>
      </c>
      <c r="I150" s="620">
        <f>июль!I150+август!I150+сентябрь!I150</f>
        <v>726920.96551505988</v>
      </c>
      <c r="J150" s="261">
        <f>SUM(K150:O150)</f>
        <v>1096107.3527159998</v>
      </c>
      <c r="K150" s="620">
        <f>июль!K150+август!K150+сентябрь!K150</f>
        <v>0</v>
      </c>
      <c r="L150" s="620">
        <f>июль!L150+август!L150+сентябрь!L150</f>
        <v>189381.91945439999</v>
      </c>
      <c r="M150" s="620">
        <f>июль!M150+август!M150+сентябрь!M150</f>
        <v>6180.3106165999989</v>
      </c>
      <c r="N150" s="620">
        <f>июль!N150+август!N150+сентябрь!N150</f>
        <v>331007.0614783999</v>
      </c>
      <c r="O150" s="620">
        <f>июль!O150+август!O150+сентябрь!O150</f>
        <v>569538.06116659986</v>
      </c>
      <c r="Q150" s="24"/>
    </row>
    <row r="151" spans="1:19" ht="12.75" customHeight="1" thickTop="1" thickBot="1">
      <c r="A151" s="863" t="s">
        <v>111</v>
      </c>
      <c r="B151" s="220" t="s">
        <v>112</v>
      </c>
      <c r="C151" s="221" t="s">
        <v>113</v>
      </c>
      <c r="D151" s="222">
        <f>SUM(E151:I151)</f>
        <v>100240</v>
      </c>
      <c r="E151" s="222">
        <f>E44-E34-E46</f>
        <v>0</v>
      </c>
      <c r="F151" s="222">
        <f>F44-F34-F46</f>
        <v>14900</v>
      </c>
      <c r="G151" s="222">
        <f>G44-G34-G46</f>
        <v>8500</v>
      </c>
      <c r="H151" s="222">
        <f>H44-H34-H46</f>
        <v>27600</v>
      </c>
      <c r="I151" s="222">
        <f>I44-I34-I46</f>
        <v>49240</v>
      </c>
      <c r="J151" s="335">
        <f>SUM(K151:O151)</f>
        <v>121033.34799999994</v>
      </c>
      <c r="K151" s="222">
        <f>K44-K34-K46</f>
        <v>0</v>
      </c>
      <c r="L151" s="222">
        <f>L44-L34-L46</f>
        <v>12545.553474999964</v>
      </c>
      <c r="M151" s="222">
        <f>M44-M34-M46</f>
        <v>4837.416999999994</v>
      </c>
      <c r="N151" s="222">
        <f>N44-N34-N46</f>
        <v>25939.723525000009</v>
      </c>
      <c r="O151" s="222">
        <f>O44-O34-O46</f>
        <v>77710.65399999998</v>
      </c>
    </row>
    <row r="152" spans="1:19" ht="12.75" customHeight="1" thickTop="1" thickBot="1">
      <c r="A152" s="863"/>
      <c r="B152" s="234" t="s">
        <v>114</v>
      </c>
      <c r="C152" s="179" t="s">
        <v>115</v>
      </c>
      <c r="D152" s="346">
        <f t="shared" ref="D152:J152" si="20">IF(D44=0,0,D151/D44*100)</f>
        <v>10.518914948318379</v>
      </c>
      <c r="E152" s="346">
        <f t="shared" si="20"/>
        <v>0</v>
      </c>
      <c r="F152" s="346">
        <f t="shared" si="20"/>
        <v>1.9602168078724411</v>
      </c>
      <c r="G152" s="346">
        <f t="shared" si="20"/>
        <v>3.0775915130888154</v>
      </c>
      <c r="H152" s="346">
        <f t="shared" si="20"/>
        <v>3.8874882037269178</v>
      </c>
      <c r="I152" s="346">
        <f t="shared" si="20"/>
        <v>11.558142810196705</v>
      </c>
      <c r="J152" s="346">
        <f t="shared" si="20"/>
        <v>14.066951815251555</v>
      </c>
      <c r="K152" s="346">
        <f>IF(K44=0,0,K151/K44*100)</f>
        <v>0</v>
      </c>
      <c r="L152" s="346">
        <f t="shared" ref="L152:O152" si="21">IF(L44=0,0,L151/L44*100)</f>
        <v>1.8477903989623627</v>
      </c>
      <c r="M152" s="346">
        <f t="shared" si="21"/>
        <v>2.2520561752006616</v>
      </c>
      <c r="N152" s="346">
        <f t="shared" si="21"/>
        <v>4.0854733361676772</v>
      </c>
      <c r="O152" s="346">
        <f t="shared" si="21"/>
        <v>21.33273579116554</v>
      </c>
    </row>
    <row r="153" spans="1:19" ht="12.75" customHeight="1" thickTop="1" thickBot="1">
      <c r="A153" s="863"/>
      <c r="B153" s="234" t="s">
        <v>116</v>
      </c>
      <c r="C153" s="179" t="s">
        <v>117</v>
      </c>
      <c r="D153" s="346">
        <f t="shared" ref="D153:J153" si="22">IF(D45=0,0,D151/D45*100)</f>
        <v>10.518914948318379</v>
      </c>
      <c r="E153" s="346">
        <f t="shared" si="22"/>
        <v>0</v>
      </c>
      <c r="F153" s="346">
        <f t="shared" si="22"/>
        <v>1.9602168078724411</v>
      </c>
      <c r="G153" s="346">
        <f t="shared" si="22"/>
        <v>3.1460507809608407</v>
      </c>
      <c r="H153" s="346">
        <f t="shared" si="22"/>
        <v>4.2646512790013666</v>
      </c>
      <c r="I153" s="346">
        <f t="shared" si="22"/>
        <v>11.613462276413138</v>
      </c>
      <c r="J153" s="346">
        <f t="shared" si="22"/>
        <v>14.066951815251555</v>
      </c>
      <c r="K153" s="346">
        <f>IF(K45=0,0,K151/K45*100)</f>
        <v>0</v>
      </c>
      <c r="L153" s="346">
        <f t="shared" ref="L153:O153" si="23">IF(L45=0,0,L151/L45*100)</f>
        <v>1.847790398962363</v>
      </c>
      <c r="M153" s="346">
        <f t="shared" si="23"/>
        <v>2.253666455443899</v>
      </c>
      <c r="N153" s="346">
        <f t="shared" si="23"/>
        <v>4.5370642185888803</v>
      </c>
      <c r="O153" s="346">
        <f t="shared" si="23"/>
        <v>21.511767291662718</v>
      </c>
    </row>
    <row r="154" spans="1:19" ht="12.75" customHeight="1" thickTop="1" thickBot="1">
      <c r="A154" s="863"/>
      <c r="B154" s="224" t="s">
        <v>118</v>
      </c>
      <c r="C154" s="225" t="s">
        <v>209</v>
      </c>
      <c r="D154" s="451">
        <f>SUM(E154:I154)</f>
        <v>8632.0054530633461</v>
      </c>
      <c r="E154" s="451"/>
      <c r="F154" s="184">
        <f>июль!F154+август!F154+сентябрь!F154</f>
        <v>8632.0054530633461</v>
      </c>
      <c r="G154" s="451"/>
      <c r="H154" s="451"/>
      <c r="I154" s="451"/>
      <c r="J154" s="451">
        <f>SUM(K154:O154)</f>
        <v>12685.812311999998</v>
      </c>
      <c r="K154" s="451"/>
      <c r="L154" s="449">
        <f>июль!L154+август!L154+сентябрь!L154</f>
        <v>12685.812311999998</v>
      </c>
      <c r="M154" s="451">
        <v>0</v>
      </c>
      <c r="N154" s="451">
        <v>0</v>
      </c>
      <c r="O154" s="451">
        <v>0</v>
      </c>
    </row>
    <row r="155" spans="1:19" ht="12.75" customHeight="1" thickTop="1" thickBot="1">
      <c r="A155" s="863"/>
      <c r="B155" s="227" t="s">
        <v>120</v>
      </c>
      <c r="C155" s="186" t="s">
        <v>121</v>
      </c>
      <c r="D155" s="450">
        <f>SUM(E155:I155)</f>
        <v>100240</v>
      </c>
      <c r="E155" s="450">
        <f>E151</f>
        <v>0</v>
      </c>
      <c r="F155" s="450">
        <f>F151</f>
        <v>14900</v>
      </c>
      <c r="G155" s="450">
        <f>G151</f>
        <v>8500</v>
      </c>
      <c r="H155" s="450">
        <f>H151</f>
        <v>27600</v>
      </c>
      <c r="I155" s="450">
        <f>I151</f>
        <v>49240</v>
      </c>
      <c r="J155" s="450">
        <f>SUM(K155:O155)</f>
        <v>121033.34799999994</v>
      </c>
      <c r="K155" s="450">
        <f>K151</f>
        <v>0</v>
      </c>
      <c r="L155" s="450">
        <f>L151</f>
        <v>12545.553474999964</v>
      </c>
      <c r="M155" s="450">
        <f>M151</f>
        <v>4837.416999999994</v>
      </c>
      <c r="N155" s="450">
        <f>N151</f>
        <v>25939.723525000009</v>
      </c>
      <c r="O155" s="450">
        <f>O151</f>
        <v>77710.65399999998</v>
      </c>
    </row>
    <row r="156" spans="1:19" ht="12.75" customHeight="1" thickTop="1" thickBot="1">
      <c r="A156" s="863"/>
      <c r="B156" s="227" t="s">
        <v>122</v>
      </c>
      <c r="C156" s="186" t="s">
        <v>167</v>
      </c>
      <c r="D156" s="455">
        <f>D157/1.18/D155</f>
        <v>1.7575060392772526</v>
      </c>
      <c r="E156" s="341">
        <v>1.7575060392772524</v>
      </c>
      <c r="F156" s="341">
        <v>1.7575060392772524</v>
      </c>
      <c r="G156" s="341">
        <v>1.7575060392772524</v>
      </c>
      <c r="H156" s="341">
        <v>1.7575060392772524</v>
      </c>
      <c r="I156" s="341">
        <v>1.7575060392772524</v>
      </c>
      <c r="J156" s="455">
        <f>J157/1.18/J155</f>
        <v>1.6009077279263559</v>
      </c>
      <c r="K156" s="241">
        <v>1.6009077279263557</v>
      </c>
      <c r="L156" s="241">
        <v>1.6009077279263557</v>
      </c>
      <c r="M156" s="241">
        <v>1.6009077279263557</v>
      </c>
      <c r="N156" s="241">
        <v>1.6009077279263557</v>
      </c>
      <c r="O156" s="241">
        <v>1.6009077279263557</v>
      </c>
    </row>
    <row r="157" spans="1:19" ht="12.75" customHeight="1" thickTop="1" thickBot="1">
      <c r="A157" s="863"/>
      <c r="B157" s="227" t="s">
        <v>124</v>
      </c>
      <c r="C157" s="186" t="s">
        <v>168</v>
      </c>
      <c r="D157" s="450">
        <f>SUM(E157:I157)</f>
        <v>207883.43834503909</v>
      </c>
      <c r="E157" s="450">
        <f>E155*E156*1.18</f>
        <v>0</v>
      </c>
      <c r="F157" s="450">
        <f>F155*F156*1.18</f>
        <v>30900.471182572652</v>
      </c>
      <c r="G157" s="450">
        <f>G155*G156*1.18</f>
        <v>17627.785573950841</v>
      </c>
      <c r="H157" s="450">
        <f>H155*H156*1.18</f>
        <v>57238.456687181555</v>
      </c>
      <c r="I157" s="450">
        <f>I155*I156*1.18</f>
        <v>102116.72490133405</v>
      </c>
      <c r="J157" s="450">
        <f>SUM(K157:O157)</f>
        <v>228640.60213699983</v>
      </c>
      <c r="K157" s="450">
        <f>K155*K156*1.18</f>
        <v>0</v>
      </c>
      <c r="L157" s="450">
        <f>L155*L156*1.18</f>
        <v>23699.442740904131</v>
      </c>
      <c r="M157" s="450">
        <f>M155*M156*1.18</f>
        <v>9138.2247450327359</v>
      </c>
      <c r="N157" s="450">
        <f>N155*N156*1.18</f>
        <v>49001.98254470581</v>
      </c>
      <c r="O157" s="450">
        <f>O155*O156*1.18</f>
        <v>146800.95210635714</v>
      </c>
    </row>
    <row r="158" spans="1:19" ht="12.75" customHeight="1" thickTop="1" thickBot="1">
      <c r="A158" s="863"/>
      <c r="B158" s="229" t="s">
        <v>126</v>
      </c>
      <c r="C158" s="225" t="s">
        <v>127</v>
      </c>
      <c r="D158" s="451">
        <f>SUM(E158:I158)</f>
        <v>89230</v>
      </c>
      <c r="E158" s="449">
        <f>июль!E158+август!E158+сентябрь!E158</f>
        <v>0</v>
      </c>
      <c r="F158" s="457">
        <f>июль!F158+август!F158+сентябрь!F158</f>
        <v>14900</v>
      </c>
      <c r="G158" s="457">
        <f>июль!G158+август!G158+сентябрь!G158</f>
        <v>8500</v>
      </c>
      <c r="H158" s="457">
        <f>июль!H158+август!H158+сентябрь!H158</f>
        <v>27600</v>
      </c>
      <c r="I158" s="457">
        <f>июль!I158+август!I158+сентябрь!I158</f>
        <v>38230</v>
      </c>
      <c r="J158" s="456">
        <f>SUM(K158:O158)</f>
        <v>80528.838999999993</v>
      </c>
      <c r="K158" s="449">
        <f>июль!K158+август!K158+сентябрь!K158</f>
        <v>-1.4210854715202004E-12</v>
      </c>
      <c r="L158" s="449">
        <f>июль!L158+август!L158+сентябрь!L158</f>
        <v>12545.553000000007</v>
      </c>
      <c r="M158" s="449">
        <f>июль!M158+август!M158+сентябрь!M158</f>
        <v>4837.416999999994</v>
      </c>
      <c r="N158" s="449">
        <f>июль!N158+август!N158+сентябрь!N158</f>
        <v>25939.723999999987</v>
      </c>
      <c r="O158" s="449">
        <f>июль!O158+август!O158+сентябрь!O158</f>
        <v>37206.145000000004</v>
      </c>
    </row>
    <row r="159" spans="1:19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24">IF(D44=0,0,D158/D44*100)</f>
        <v>9.3635552757227547</v>
      </c>
      <c r="E159" s="345">
        <f t="shared" si="24"/>
        <v>0</v>
      </c>
      <c r="F159" s="345">
        <f t="shared" si="24"/>
        <v>1.9602168078724411</v>
      </c>
      <c r="G159" s="345">
        <f t="shared" si="24"/>
        <v>3.0775915130888154</v>
      </c>
      <c r="H159" s="345">
        <f t="shared" si="24"/>
        <v>3.8874882037269178</v>
      </c>
      <c r="I159" s="345">
        <f t="shared" si="24"/>
        <v>8.9737571006056065</v>
      </c>
      <c r="J159" s="345">
        <f t="shared" si="24"/>
        <v>9.3593651391941233</v>
      </c>
      <c r="K159" s="345">
        <f>IF(K44=0,0,K158/K44*100)</f>
        <v>0</v>
      </c>
      <c r="L159" s="345">
        <f t="shared" si="24"/>
        <v>1.8477903290012916</v>
      </c>
      <c r="M159" s="345">
        <f t="shared" si="24"/>
        <v>2.2520561752006616</v>
      </c>
      <c r="N159" s="345">
        <f t="shared" si="24"/>
        <v>4.0854734109795672</v>
      </c>
      <c r="O159" s="345">
        <f t="shared" si="24"/>
        <v>10.213642792052619</v>
      </c>
      <c r="P159" s="25"/>
      <c r="Q159" s="25"/>
      <c r="R159" s="25"/>
      <c r="S159" s="25"/>
    </row>
    <row r="160" spans="1:19" ht="12.75" customHeight="1" thickTop="1" thickBot="1">
      <c r="A160" s="863"/>
      <c r="B160" s="230" t="s">
        <v>130</v>
      </c>
      <c r="C160" s="225" t="s">
        <v>131</v>
      </c>
      <c r="D160" s="345">
        <f t="shared" ref="D160:O160" si="25">IF(D45=0,0,D158/D45*100)</f>
        <v>9.3635552757227547</v>
      </c>
      <c r="E160" s="345">
        <f t="shared" si="25"/>
        <v>0</v>
      </c>
      <c r="F160" s="345">
        <f t="shared" si="25"/>
        <v>1.9602168078724411</v>
      </c>
      <c r="G160" s="345">
        <f t="shared" si="25"/>
        <v>3.1460507809608407</v>
      </c>
      <c r="H160" s="345">
        <f t="shared" si="25"/>
        <v>4.2646512790013666</v>
      </c>
      <c r="I160" s="345">
        <f t="shared" si="25"/>
        <v>9.0167072060778697</v>
      </c>
      <c r="J160" s="345">
        <f t="shared" si="25"/>
        <v>9.3593651391941233</v>
      </c>
      <c r="K160" s="345">
        <f t="shared" si="25"/>
        <v>0</v>
      </c>
      <c r="L160" s="345">
        <f t="shared" si="25"/>
        <v>1.8477903290012916</v>
      </c>
      <c r="M160" s="345">
        <f t="shared" si="25"/>
        <v>2.253666455443899</v>
      </c>
      <c r="N160" s="345">
        <f t="shared" si="25"/>
        <v>4.5370643016701599</v>
      </c>
      <c r="O160" s="345">
        <f t="shared" si="25"/>
        <v>10.299359120820945</v>
      </c>
      <c r="P160" s="25"/>
      <c r="Q160" s="25"/>
      <c r="R160" s="25"/>
      <c r="S160" s="25"/>
    </row>
    <row r="161" spans="1:15" ht="12.75" customHeight="1" thickTop="1" thickBot="1">
      <c r="A161" s="863"/>
      <c r="B161" s="231" t="s">
        <v>132</v>
      </c>
      <c r="C161" s="186" t="s">
        <v>133</v>
      </c>
      <c r="D161" s="450">
        <f>SUM(E161:I161)</f>
        <v>11010</v>
      </c>
      <c r="E161" s="251">
        <f>E151-E158</f>
        <v>0</v>
      </c>
      <c r="F161" s="450">
        <f>F151-F158</f>
        <v>0</v>
      </c>
      <c r="G161" s="450">
        <f>G151-G158</f>
        <v>0</v>
      </c>
      <c r="H161" s="450">
        <f>H151-H158</f>
        <v>0</v>
      </c>
      <c r="I161" s="450">
        <f>I151-I158</f>
        <v>11010</v>
      </c>
      <c r="J161" s="450">
        <f>SUM(K161:O161)</f>
        <v>40504.508999999955</v>
      </c>
      <c r="K161" s="450">
        <f>K151-K158</f>
        <v>1.4210854715202004E-12</v>
      </c>
      <c r="L161" s="450">
        <f>L151-L158</f>
        <v>4.7499995707767084E-4</v>
      </c>
      <c r="M161" s="450">
        <f>M151-M158</f>
        <v>0</v>
      </c>
      <c r="N161" s="450">
        <f>N151-N158</f>
        <v>-4.7499997890554368E-4</v>
      </c>
      <c r="O161" s="450">
        <f>O151-O158</f>
        <v>40504.508999999976</v>
      </c>
    </row>
    <row r="162" spans="1:15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1.1553596725956241</v>
      </c>
      <c r="E162" s="347">
        <f t="shared" ref="E162:I162" si="26">IF(E44=0,0,E161/E44*100)</f>
        <v>0</v>
      </c>
      <c r="F162" s="347">
        <f t="shared" si="26"/>
        <v>0</v>
      </c>
      <c r="G162" s="347">
        <f t="shared" si="26"/>
        <v>0</v>
      </c>
      <c r="H162" s="347">
        <f t="shared" si="26"/>
        <v>0</v>
      </c>
      <c r="I162" s="347">
        <f t="shared" si="26"/>
        <v>2.5843857095910989</v>
      </c>
      <c r="J162" s="347">
        <f>IF(J44=0,0,J161/J44*100)</f>
        <v>4.7075866760574332</v>
      </c>
      <c r="K162" s="347">
        <f>IF(K44=0,0,K161/K44*100)</f>
        <v>0</v>
      </c>
      <c r="L162" s="347">
        <f t="shared" ref="L162:O162" si="27">IF(L44=0,0,L161/L44*100)</f>
        <v>6.9961071222938377E-8</v>
      </c>
      <c r="M162" s="347">
        <f t="shared" si="27"/>
        <v>0</v>
      </c>
      <c r="N162" s="347">
        <f t="shared" si="27"/>
        <v>-7.4811890212650487E-8</v>
      </c>
      <c r="O162" s="347">
        <f t="shared" si="27"/>
        <v>11.119092999112921</v>
      </c>
    </row>
    <row r="163" spans="1:15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1.1553596725956241</v>
      </c>
      <c r="E163" s="347">
        <f t="shared" ref="E163:O163" si="28">IF(E45=0,0,E161/E45*100)</f>
        <v>0</v>
      </c>
      <c r="F163" s="347">
        <f t="shared" si="28"/>
        <v>0</v>
      </c>
      <c r="G163" s="347">
        <f t="shared" si="28"/>
        <v>0</v>
      </c>
      <c r="H163" s="347">
        <f t="shared" si="28"/>
        <v>0</v>
      </c>
      <c r="I163" s="347">
        <f t="shared" si="28"/>
        <v>2.5967550703352691</v>
      </c>
      <c r="J163" s="347">
        <f t="shared" si="28"/>
        <v>4.7075866760574332</v>
      </c>
      <c r="K163" s="347">
        <f t="shared" si="28"/>
        <v>0</v>
      </c>
      <c r="L163" s="347">
        <f t="shared" si="28"/>
        <v>6.996107122293839E-8</v>
      </c>
      <c r="M163" s="347">
        <f t="shared" si="28"/>
        <v>0</v>
      </c>
      <c r="N163" s="347">
        <f t="shared" si="28"/>
        <v>-8.3081279029276576E-8</v>
      </c>
      <c r="O163" s="347">
        <f t="shared" si="28"/>
        <v>11.212408170841773</v>
      </c>
    </row>
    <row r="164" spans="1:15">
      <c r="A164" s="94" t="s">
        <v>210</v>
      </c>
      <c r="J164" s="25"/>
      <c r="K164" s="25"/>
      <c r="L164" s="25"/>
      <c r="M164" s="25"/>
      <c r="N164" s="25"/>
      <c r="O164" s="25"/>
    </row>
    <row r="165" spans="1:15">
      <c r="J165" s="27"/>
      <c r="K165" s="82"/>
      <c r="L165" s="27"/>
      <c r="M165" s="27"/>
      <c r="N165" s="27"/>
      <c r="O165" s="27"/>
    </row>
    <row r="166" spans="1:15" ht="12.75" customHeight="1">
      <c r="B166" s="854" t="s">
        <v>138</v>
      </c>
      <c r="C166" s="855" t="s">
        <v>139</v>
      </c>
      <c r="D166" s="851" t="s">
        <v>140</v>
      </c>
      <c r="E166" s="851"/>
      <c r="F166" s="851"/>
      <c r="G166" s="851"/>
      <c r="H166" s="851"/>
      <c r="I166" s="851"/>
      <c r="J166" s="851" t="s">
        <v>140</v>
      </c>
      <c r="K166" s="851"/>
      <c r="L166" s="851"/>
      <c r="M166" s="851"/>
      <c r="N166" s="851"/>
      <c r="O166" s="851"/>
    </row>
    <row r="167" spans="1:15">
      <c r="B167" s="854"/>
      <c r="C167" s="855"/>
      <c r="D167" s="28" t="s">
        <v>141</v>
      </c>
      <c r="E167" s="29"/>
      <c r="F167" s="29" t="s">
        <v>5</v>
      </c>
      <c r="G167" s="30" t="s">
        <v>74</v>
      </c>
      <c r="H167" s="30" t="s">
        <v>76</v>
      </c>
      <c r="I167" s="31" t="s">
        <v>8</v>
      </c>
      <c r="J167" s="28" t="s">
        <v>141</v>
      </c>
      <c r="K167" s="29"/>
      <c r="L167" s="29" t="s">
        <v>5</v>
      </c>
      <c r="M167" s="30" t="s">
        <v>74</v>
      </c>
      <c r="N167" s="30" t="s">
        <v>76</v>
      </c>
      <c r="O167" s="31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>
        <f>D174+D175+D176</f>
        <v>952950</v>
      </c>
      <c r="E169" s="35"/>
      <c r="F169" s="36">
        <f>F170+F174+F175+F176</f>
        <v>760120</v>
      </c>
      <c r="G169" s="36">
        <f>G170+G174+G175+G176</f>
        <v>270580</v>
      </c>
      <c r="H169" s="36">
        <f>H170+H174+H175+H176</f>
        <v>649560</v>
      </c>
      <c r="I169" s="37">
        <f>I170+I174+I175+I176</f>
        <v>426020</v>
      </c>
      <c r="J169" s="34">
        <f>J174+J175+J176</f>
        <v>860409.20299999998</v>
      </c>
      <c r="K169" s="35"/>
      <c r="L169" s="36">
        <f>L170+L174+L175+L176</f>
        <v>678948.94799999997</v>
      </c>
      <c r="M169" s="36">
        <f>M170+M174+M175+M176</f>
        <v>214646.53690499999</v>
      </c>
      <c r="N169" s="36">
        <f>N170+N174+N175+N176</f>
        <v>573514.79152500001</v>
      </c>
      <c r="O169" s="37">
        <f>O170+O174+O175+O176</f>
        <v>364278.89400000003</v>
      </c>
    </row>
    <row r="170" spans="1:15" ht="12.75">
      <c r="B170" s="38" t="s">
        <v>12</v>
      </c>
      <c r="C170" s="39" t="s">
        <v>143</v>
      </c>
      <c r="D170" s="675">
        <f t="shared" ref="D170:D177" si="29">SUM(F170:I170)</f>
        <v>1153330</v>
      </c>
      <c r="E170" s="676"/>
      <c r="F170" s="676"/>
      <c r="G170" s="677">
        <f>SUM(G171:G173)</f>
        <v>154410</v>
      </c>
      <c r="H170" s="677">
        <f>SUM(H171:H173)</f>
        <v>572910</v>
      </c>
      <c r="I170" s="678">
        <f>SUM(I171:I173)</f>
        <v>426010</v>
      </c>
      <c r="J170" s="675">
        <f t="shared" ref="J170:J177" si="30">SUM(L170:O170)</f>
        <v>970979.96743000008</v>
      </c>
      <c r="K170" s="676"/>
      <c r="L170" s="676"/>
      <c r="M170" s="677">
        <f>SUM(M171:M173)</f>
        <v>105387.38790499998</v>
      </c>
      <c r="N170" s="677">
        <f>SUM(N171:N173)</f>
        <v>501408.69952500006</v>
      </c>
      <c r="O170" s="678">
        <f>SUM(O171:O173)</f>
        <v>364183.88</v>
      </c>
    </row>
    <row r="171" spans="1:15" ht="12.75">
      <c r="B171" s="40" t="s">
        <v>144</v>
      </c>
      <c r="C171" s="41" t="s">
        <v>145</v>
      </c>
      <c r="D171" s="42">
        <f t="shared" si="29"/>
        <v>480130</v>
      </c>
      <c r="E171" s="43"/>
      <c r="F171" s="44"/>
      <c r="G171" s="45">
        <f>G31-G49-G61-G73-G85-G97-G78-G109-G121-G54-G66-G90-G102-G114-G126</f>
        <v>154410</v>
      </c>
      <c r="H171" s="45">
        <f>H31-H49-H61-H73-H85-H97-H78-H54-H109-H66-H90-H102-H114-H121-H126</f>
        <v>325720</v>
      </c>
      <c r="I171" s="46"/>
      <c r="J171" s="42">
        <f t="shared" si="30"/>
        <v>402671.97652500006</v>
      </c>
      <c r="K171" s="43"/>
      <c r="L171" s="44"/>
      <c r="M171" s="45">
        <f>M31-M49-M61-M73-M85-M97-M78-M109-M121-M54-M66-M90-M102-M114-M126</f>
        <v>105387.38790499998</v>
      </c>
      <c r="N171" s="45">
        <f>N31-N49-N61-N73-N85-N97-N78-N54-N109-N66-N90-N102-N114-N121-N126</f>
        <v>297284.58862000005</v>
      </c>
      <c r="O171" s="46"/>
    </row>
    <row r="172" spans="1:15" ht="12.75">
      <c r="B172" s="47" t="s">
        <v>146</v>
      </c>
      <c r="C172" s="48" t="s">
        <v>6</v>
      </c>
      <c r="D172" s="42">
        <f t="shared" si="29"/>
        <v>247190</v>
      </c>
      <c r="E172" s="43"/>
      <c r="F172" s="44"/>
      <c r="G172" s="49"/>
      <c r="H172" s="45">
        <f>H32-H50-H62-H74-H86-H98-H110-H55-H67-H79-H91-H103-H115-H122-H127</f>
        <v>247190</v>
      </c>
      <c r="I172" s="50">
        <f>I32-I50-I55-I62-I67-I74-I79-I86-I91-I98-I103-I110-I115-I122-I127</f>
        <v>0</v>
      </c>
      <c r="J172" s="42">
        <f t="shared" si="30"/>
        <v>204124.11090500001</v>
      </c>
      <c r="K172" s="43"/>
      <c r="L172" s="44"/>
      <c r="M172" s="49"/>
      <c r="N172" s="45">
        <f>N32-N50-N62-N74-N86-N98-N110-N55-N67-N79-N91-N103-N115-N122-N127</f>
        <v>204124.11090500001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>
        <f t="shared" si="29"/>
        <v>426010</v>
      </c>
      <c r="E173" s="54"/>
      <c r="F173" s="55"/>
      <c r="G173" s="56"/>
      <c r="H173" s="56"/>
      <c r="I173" s="57">
        <f>I33-I51-I87-I75-I99-I111-I56-I63-I68-I80-I92-I104-I116-I123-I128</f>
        <v>426010</v>
      </c>
      <c r="J173" s="53">
        <f t="shared" si="30"/>
        <v>364183.88</v>
      </c>
      <c r="K173" s="54"/>
      <c r="L173" s="55"/>
      <c r="M173" s="56"/>
      <c r="N173" s="56"/>
      <c r="O173" s="57">
        <f>O33-O51-O87-O75-O99-O111-O56-O63-O68-O80-O92-O104-O116-O123-O128</f>
        <v>364183.88</v>
      </c>
    </row>
    <row r="174" spans="1:15" ht="12.75">
      <c r="B174" s="58" t="s">
        <v>14</v>
      </c>
      <c r="C174" s="39" t="s">
        <v>148</v>
      </c>
      <c r="D174" s="110">
        <f t="shared" si="29"/>
        <v>508813</v>
      </c>
      <c r="E174" s="111"/>
      <c r="F174" s="111">
        <f>F28+E28</f>
        <v>416183</v>
      </c>
      <c r="G174" s="112">
        <f>G28</f>
        <v>82040</v>
      </c>
      <c r="H174" s="112">
        <f>H28</f>
        <v>10590</v>
      </c>
      <c r="I174" s="113">
        <f>I28</f>
        <v>0</v>
      </c>
      <c r="J174" s="110">
        <f t="shared" si="30"/>
        <v>749839.53099999996</v>
      </c>
      <c r="K174" s="111"/>
      <c r="L174" s="111">
        <f>L28+K28</f>
        <v>666481.20699999994</v>
      </c>
      <c r="M174" s="112">
        <f>M28</f>
        <v>74796.948000000004</v>
      </c>
      <c r="N174" s="112">
        <f>N28</f>
        <v>8561.3760000000002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>
        <f t="shared" si="29"/>
        <v>444137</v>
      </c>
      <c r="E175" s="124"/>
      <c r="F175" s="125">
        <f>F23+F24+F25+E23+E24+E25</f>
        <v>343937</v>
      </c>
      <c r="G175" s="125">
        <f>G23+G24+G25</f>
        <v>34130</v>
      </c>
      <c r="H175" s="125">
        <f>H23+H24+H25</f>
        <v>66060</v>
      </c>
      <c r="I175" s="126">
        <f>I23+I24+I25</f>
        <v>10</v>
      </c>
      <c r="J175" s="123">
        <f t="shared" si="30"/>
        <v>110569.67200000002</v>
      </c>
      <c r="K175" s="124"/>
      <c r="L175" s="125">
        <f>L23+L24+L25+K23+K24+K25</f>
        <v>12467.741000000027</v>
      </c>
      <c r="M175" s="125">
        <f>M23+M24+M25</f>
        <v>34462.201000000001</v>
      </c>
      <c r="N175" s="125">
        <f>N23+N24+N25</f>
        <v>63544.716</v>
      </c>
      <c r="O175" s="126">
        <f>O23+O24+O25</f>
        <v>95.01400000000001</v>
      </c>
    </row>
    <row r="176" spans="1:15" ht="12.75">
      <c r="B176" s="61" t="s">
        <v>20</v>
      </c>
      <c r="C176" s="62" t="s">
        <v>150</v>
      </c>
      <c r="D176" s="129">
        <f t="shared" si="29"/>
        <v>0</v>
      </c>
      <c r="E176" s="130"/>
      <c r="F176" s="131">
        <f>F29+E29</f>
        <v>0</v>
      </c>
      <c r="G176" s="131">
        <f>G29</f>
        <v>0</v>
      </c>
      <c r="H176" s="131">
        <f>H29</f>
        <v>0</v>
      </c>
      <c r="I176" s="132">
        <f>I29</f>
        <v>0</v>
      </c>
      <c r="J176" s="129">
        <f t="shared" si="30"/>
        <v>0</v>
      </c>
      <c r="K176" s="130"/>
      <c r="L176" s="131">
        <f>L29+K29</f>
        <v>0</v>
      </c>
      <c r="M176" s="131">
        <f>M29</f>
        <v>0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29"/>
        <v>100240</v>
      </c>
      <c r="E177" s="136"/>
      <c r="F177" s="136">
        <f>F169-F180-G171-H171</f>
        <v>14900</v>
      </c>
      <c r="G177" s="136">
        <f>G169-G180-H172-I172</f>
        <v>8500</v>
      </c>
      <c r="H177" s="136">
        <f>H169-H180-I173</f>
        <v>27600</v>
      </c>
      <c r="I177" s="137">
        <f>I169-I180</f>
        <v>49240</v>
      </c>
      <c r="J177" s="135">
        <f t="shared" si="30"/>
        <v>121033.34800000003</v>
      </c>
      <c r="K177" s="136"/>
      <c r="L177" s="136">
        <f>L169-L180-M171-N171</f>
        <v>12545.553474999964</v>
      </c>
      <c r="M177" s="136">
        <f>M169-M180-N172-O172</f>
        <v>4837.4169999999867</v>
      </c>
      <c r="N177" s="136">
        <f>N169-N180-O173</f>
        <v>25939.723525000038</v>
      </c>
      <c r="O177" s="137">
        <f>O169-O180</f>
        <v>77710.654000000039</v>
      </c>
    </row>
    <row r="178" spans="1:15" ht="12.75">
      <c r="B178" s="64"/>
      <c r="C178" s="65" t="s">
        <v>152</v>
      </c>
      <c r="D178" s="441">
        <f>IF(D169=0,0,D177/D169*100)</f>
        <v>10.518914948318379</v>
      </c>
      <c r="E178" s="140"/>
      <c r="F178" s="441">
        <f t="shared" ref="F178:I178" si="31">IF(F169=0,0,F177/F169*100)</f>
        <v>1.9602168078724411</v>
      </c>
      <c r="G178" s="441">
        <f t="shared" si="31"/>
        <v>3.1413999556508241</v>
      </c>
      <c r="H178" s="441">
        <f t="shared" si="31"/>
        <v>4.2490301126916679</v>
      </c>
      <c r="I178" s="441">
        <f t="shared" si="31"/>
        <v>11.558142810196705</v>
      </c>
      <c r="J178" s="441">
        <f>IF(J169=0,0,J177/J169*100)</f>
        <v>14.066951815251565</v>
      </c>
      <c r="K178" s="140"/>
      <c r="L178" s="441">
        <f t="shared" ref="L178:O178" si="32">IF(L169=0,0,L177/L169*100)</f>
        <v>1.8477903989623627</v>
      </c>
      <c r="M178" s="441">
        <f t="shared" si="32"/>
        <v>2.2536664554438959</v>
      </c>
      <c r="N178" s="441">
        <f t="shared" si="32"/>
        <v>4.5229388863755746</v>
      </c>
      <c r="O178" s="441">
        <f t="shared" si="32"/>
        <v>21.332735791165554</v>
      </c>
    </row>
    <row r="179" spans="1:15" ht="26.25" thickBot="1">
      <c r="B179" s="66" t="s">
        <v>38</v>
      </c>
      <c r="C179" s="67" t="s">
        <v>153</v>
      </c>
      <c r="D179" s="143">
        <f t="shared" ref="D179:D184" si="33">SUM(F179:I179)</f>
        <v>0</v>
      </c>
      <c r="E179" s="144"/>
      <c r="F179" s="144"/>
      <c r="G179" s="145"/>
      <c r="H179" s="145"/>
      <c r="I179" s="146"/>
      <c r="J179" s="143">
        <f t="shared" ref="J179:J184" si="34">SUM(L179:O179)</f>
        <v>0</v>
      </c>
      <c r="K179" s="144"/>
      <c r="L179" s="144"/>
      <c r="M179" s="145"/>
      <c r="N179" s="145"/>
      <c r="O179" s="146"/>
    </row>
    <row r="180" spans="1:15" s="83" customFormat="1" ht="13.5" thickBot="1">
      <c r="B180" s="147" t="s">
        <v>52</v>
      </c>
      <c r="C180" s="148" t="s">
        <v>154</v>
      </c>
      <c r="D180" s="143">
        <f t="shared" si="33"/>
        <v>852710</v>
      </c>
      <c r="E180" s="144"/>
      <c r="F180" s="682">
        <f>F143+E143</f>
        <v>265090</v>
      </c>
      <c r="G180" s="682">
        <f>G143+G194</f>
        <v>14890</v>
      </c>
      <c r="H180" s="682">
        <f>H143+H194</f>
        <v>195950</v>
      </c>
      <c r="I180" s="683">
        <f>I143+I194</f>
        <v>376780</v>
      </c>
      <c r="J180" s="143">
        <f t="shared" si="34"/>
        <v>739375.85499999998</v>
      </c>
      <c r="K180" s="144"/>
      <c r="L180" s="682">
        <f>L143+K143</f>
        <v>263731.41800000001</v>
      </c>
      <c r="M180" s="682">
        <f>M143+M194</f>
        <v>5685.009</v>
      </c>
      <c r="N180" s="682">
        <f>N143+N194</f>
        <v>183391.18799999999</v>
      </c>
      <c r="O180" s="683">
        <f>O143+O194</f>
        <v>286568.24</v>
      </c>
    </row>
    <row r="181" spans="1:15" ht="12.75">
      <c r="B181" s="70" t="s">
        <v>54</v>
      </c>
      <c r="C181" s="71" t="s">
        <v>155</v>
      </c>
      <c r="D181" s="151">
        <f t="shared" si="33"/>
        <v>0</v>
      </c>
      <c r="E181" s="152"/>
      <c r="F181" s="152"/>
      <c r="G181" s="153"/>
      <c r="H181" s="153"/>
      <c r="I181" s="154"/>
      <c r="J181" s="151">
        <f t="shared" si="34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3"/>
        <v>0</v>
      </c>
      <c r="E182" s="158"/>
      <c r="F182" s="159"/>
      <c r="G182" s="159"/>
      <c r="H182" s="159"/>
      <c r="I182" s="160"/>
      <c r="J182" s="157">
        <f t="shared" si="34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3"/>
        <v>0</v>
      </c>
      <c r="E183" s="164"/>
      <c r="F183" s="164"/>
      <c r="G183" s="165"/>
      <c r="H183" s="165"/>
      <c r="I183" s="166"/>
      <c r="J183" s="163">
        <f t="shared" si="34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3"/>
        <v>0</v>
      </c>
      <c r="E184" s="111"/>
      <c r="F184" s="111"/>
      <c r="G184" s="112"/>
      <c r="H184" s="112"/>
      <c r="I184" s="113"/>
      <c r="J184" s="110">
        <f t="shared" si="34"/>
        <v>0</v>
      </c>
      <c r="K184" s="111"/>
      <c r="L184" s="111"/>
      <c r="M184" s="112"/>
      <c r="N184" s="112"/>
      <c r="O184" s="113"/>
    </row>
    <row r="185" spans="1:15" ht="12.75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8" spans="1:15" ht="12.75" customHeight="1">
      <c r="A188" s="832" t="s">
        <v>211</v>
      </c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523"/>
      <c r="B194" s="524"/>
      <c r="C194" s="523" t="s">
        <v>193</v>
      </c>
      <c r="D194" s="523"/>
      <c r="E194" s="523"/>
      <c r="F194" s="523"/>
      <c r="G194" s="528">
        <f>июль!G194+август!G194+сентябрь!G194</f>
        <v>400</v>
      </c>
      <c r="H194" s="528">
        <f>июль!H194+август!H194+сентябрь!H194</f>
        <v>2379.3000000000002</v>
      </c>
      <c r="I194" s="528">
        <f>июль!I194+август!I194+сентябрь!I194</f>
        <v>2029.3</v>
      </c>
      <c r="J194" s="523"/>
      <c r="K194" s="523"/>
      <c r="L194" s="523"/>
      <c r="M194" s="523"/>
      <c r="N194" s="528">
        <f>июль!N194+август!N194+сентябрь!N194</f>
        <v>1785.5349999999999</v>
      </c>
      <c r="O194" s="528">
        <f>июль!O194+август!O194+сентябрь!O194</f>
        <v>3031.7079999999996</v>
      </c>
    </row>
    <row r="195" spans="1:15">
      <c r="A195" s="523"/>
      <c r="B195" s="524"/>
      <c r="C195" s="523" t="s">
        <v>196</v>
      </c>
      <c r="D195" s="523"/>
      <c r="E195" s="523"/>
      <c r="F195" s="528">
        <f>июль!F195+август!F195+сентябрь!F195</f>
        <v>33831.708052503556</v>
      </c>
      <c r="G195" s="523"/>
      <c r="H195" s="523"/>
      <c r="I195" s="523"/>
      <c r="J195" s="523"/>
      <c r="K195" s="523"/>
      <c r="L195" s="528">
        <f>июль!L195+август!L195+сентябрь!L195</f>
        <v>36326.617050000001</v>
      </c>
      <c r="M195" s="523"/>
      <c r="N195" s="523"/>
      <c r="O195" s="523"/>
    </row>
  </sheetData>
  <mergeCells count="25"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  <mergeCell ref="A6:A29"/>
    <mergeCell ref="A30:A43"/>
    <mergeCell ref="I4:I5"/>
    <mergeCell ref="J4:J5"/>
    <mergeCell ref="K4:L4"/>
    <mergeCell ref="A188:O188"/>
    <mergeCell ref="D166:I166"/>
    <mergeCell ref="J166:O166"/>
    <mergeCell ref="A46:A150"/>
    <mergeCell ref="A151:A163"/>
    <mergeCell ref="B166:B167"/>
    <mergeCell ref="C166:C167"/>
  </mergeCells>
  <phoneticPr fontId="0" type="noConversion"/>
  <pageMargins left="0.86614173228346458" right="0.27559055118110237" top="0.55118110236220474" bottom="0.35433070866141736" header="0.51181102362204722" footer="0.51181102362204722"/>
  <pageSetup paperSize="9" scale="63" firstPageNumber="0" orientation="landscape" horizontalDpi="300" verticalDpi="300" r:id="rId1"/>
  <headerFooter alignWithMargins="0"/>
  <rowBreaks count="2" manualBreakCount="2">
    <brk id="64" max="14" man="1"/>
    <brk id="127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S199"/>
  <sheetViews>
    <sheetView view="pageBreakPreview" zoomScale="90" zoomScaleSheetLayoutView="90" workbookViewId="0">
      <pane xSplit="3" ySplit="5" topLeftCell="D142" activePane="bottomRight" state="frozen"/>
      <selection pane="topRight" activeCell="D1" sqref="D1"/>
      <selection pane="bottomLeft" activeCell="A63" sqref="A63"/>
      <selection pane="bottomRight" activeCell="N57" sqref="N57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.5703125" style="1" customWidth="1"/>
    <col min="6" max="6" width="11.85546875" style="1" customWidth="1"/>
    <col min="7" max="7" width="11.140625" style="1" customWidth="1"/>
    <col min="8" max="8" width="11.42578125" style="1" customWidth="1"/>
    <col min="9" max="9" width="12" style="1" customWidth="1"/>
    <col min="10" max="10" width="11.85546875" style="1" customWidth="1"/>
    <col min="11" max="11" width="11.140625" style="1" customWidth="1"/>
    <col min="12" max="12" width="11.28515625" style="1" customWidth="1"/>
    <col min="13" max="13" width="10.85546875" style="1" customWidth="1"/>
    <col min="14" max="14" width="11" style="1" customWidth="1"/>
    <col min="15" max="15" width="11.5703125" style="1" customWidth="1"/>
    <col min="16" max="16" width="16.140625" style="1" customWidth="1"/>
    <col min="17" max="17" width="10" style="1" customWidth="1"/>
    <col min="18" max="20" width="9.140625" style="1" customWidth="1"/>
    <col min="21" max="16384" width="9.140625" style="1"/>
  </cols>
  <sheetData>
    <row r="1" spans="1:15" ht="15.75">
      <c r="A1" s="817" t="s">
        <v>229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>
      <c r="A3" s="856"/>
      <c r="B3" s="857" t="s">
        <v>0</v>
      </c>
      <c r="C3" s="858" t="s">
        <v>1</v>
      </c>
      <c r="D3" s="867" t="s">
        <v>2</v>
      </c>
      <c r="E3" s="867"/>
      <c r="F3" s="867"/>
      <c r="G3" s="867"/>
      <c r="H3" s="867"/>
      <c r="I3" s="867"/>
      <c r="J3" s="867" t="s">
        <v>3</v>
      </c>
      <c r="K3" s="867"/>
      <c r="L3" s="867"/>
      <c r="M3" s="867"/>
      <c r="N3" s="867"/>
      <c r="O3" s="867"/>
    </row>
    <row r="4" spans="1:15" s="3" customFormat="1" ht="12.75" customHeight="1" thickTop="1" thickBot="1">
      <c r="A4" s="856"/>
      <c r="B4" s="857"/>
      <c r="C4" s="858"/>
      <c r="D4" s="865" t="s">
        <v>4</v>
      </c>
      <c r="E4" s="866" t="s">
        <v>5</v>
      </c>
      <c r="F4" s="866"/>
      <c r="G4" s="868" t="s">
        <v>6</v>
      </c>
      <c r="H4" s="868" t="s">
        <v>7</v>
      </c>
      <c r="I4" s="864" t="s">
        <v>8</v>
      </c>
      <c r="J4" s="865" t="s">
        <v>4</v>
      </c>
      <c r="K4" s="866" t="s">
        <v>5</v>
      </c>
      <c r="L4" s="866"/>
      <c r="M4" s="868" t="s">
        <v>6</v>
      </c>
      <c r="N4" s="868" t="s">
        <v>7</v>
      </c>
      <c r="O4" s="864" t="s">
        <v>8</v>
      </c>
    </row>
    <row r="5" spans="1:15" s="6" customFormat="1" ht="13.5" thickTop="1" thickBot="1">
      <c r="A5" s="856"/>
      <c r="B5" s="857"/>
      <c r="C5" s="858"/>
      <c r="D5" s="865"/>
      <c r="E5" s="4">
        <v>220</v>
      </c>
      <c r="F5" s="4">
        <v>110</v>
      </c>
      <c r="G5" s="868"/>
      <c r="H5" s="868"/>
      <c r="I5" s="864"/>
      <c r="J5" s="865"/>
      <c r="K5" s="5">
        <v>220</v>
      </c>
      <c r="L5" s="178">
        <v>110</v>
      </c>
      <c r="M5" s="868"/>
      <c r="N5" s="868"/>
      <c r="O5" s="864"/>
    </row>
    <row r="6" spans="1:15" ht="13.5" thickTop="1" thickBot="1">
      <c r="A6" s="862" t="s">
        <v>9</v>
      </c>
      <c r="B6" s="179" t="s">
        <v>10</v>
      </c>
      <c r="C6" s="179" t="s">
        <v>11</v>
      </c>
      <c r="D6" s="180">
        <f t="shared" ref="D6:O6" si="0">SUM(D7:D9,D12,D14)</f>
        <v>3791180</v>
      </c>
      <c r="E6" s="181">
        <f t="shared" si="0"/>
        <v>0</v>
      </c>
      <c r="F6" s="181">
        <f t="shared" si="0"/>
        <v>3087710</v>
      </c>
      <c r="G6" s="181">
        <f t="shared" si="0"/>
        <v>428010</v>
      </c>
      <c r="H6" s="181">
        <f t="shared" si="0"/>
        <v>275370</v>
      </c>
      <c r="I6" s="181">
        <f t="shared" si="0"/>
        <v>90</v>
      </c>
      <c r="J6" s="180">
        <f t="shared" si="0"/>
        <v>3887782.4939999999</v>
      </c>
      <c r="K6" s="181">
        <f t="shared" si="0"/>
        <v>0</v>
      </c>
      <c r="L6" s="181">
        <f t="shared" si="0"/>
        <v>3276524.193</v>
      </c>
      <c r="M6" s="181">
        <f t="shared" si="0"/>
        <v>353269.73499999999</v>
      </c>
      <c r="N6" s="181">
        <f t="shared" si="0"/>
        <v>257835.03</v>
      </c>
      <c r="O6" s="181">
        <f t="shared" si="0"/>
        <v>153.536</v>
      </c>
    </row>
    <row r="7" spans="1:15" ht="13.5" thickTop="1" thickBot="1">
      <c r="A7" s="862"/>
      <c r="B7" s="182" t="s">
        <v>12</v>
      </c>
      <c r="C7" s="182" t="s">
        <v>13</v>
      </c>
      <c r="D7" s="183">
        <f>SUM(E7:I7)</f>
        <v>0</v>
      </c>
      <c r="E7" s="235"/>
      <c r="F7" s="235"/>
      <c r="G7" s="235"/>
      <c r="H7" s="235"/>
      <c r="I7" s="235"/>
      <c r="J7" s="183">
        <f>SUM(K7:O7)</f>
        <v>0</v>
      </c>
      <c r="K7" s="235"/>
      <c r="L7" s="235"/>
      <c r="M7" s="235"/>
      <c r="N7" s="235"/>
      <c r="O7" s="235"/>
    </row>
    <row r="8" spans="1:15" ht="13.5" thickTop="1" thickBot="1">
      <c r="A8" s="862"/>
      <c r="B8" s="182" t="s">
        <v>14</v>
      </c>
      <c r="C8" s="182" t="s">
        <v>15</v>
      </c>
      <c r="D8" s="183">
        <f>SUM(E8:I8)</f>
        <v>1896532</v>
      </c>
      <c r="E8" s="184">
        <f>'1 квартал'!E8+'2 квартал'!E8+'3 квартал'!E8</f>
        <v>0</v>
      </c>
      <c r="F8" s="184">
        <f>'1 квартал'!F8+'2 квартал'!F8+'3 квартал'!F8</f>
        <v>1527652</v>
      </c>
      <c r="G8" s="184">
        <f>'1 квартал'!G8+'2 квартал'!G8+'3 квартал'!G8</f>
        <v>122530</v>
      </c>
      <c r="H8" s="184">
        <f>'1 квартал'!H8+'2 квартал'!H8+'3 квартал'!H8</f>
        <v>246260</v>
      </c>
      <c r="I8" s="184">
        <f>'1 квартал'!I8+'2 квартал'!I8+'3 квартал'!I8</f>
        <v>90</v>
      </c>
      <c r="J8" s="183">
        <f>SUM(K8:O8)</f>
        <v>1618779.8319999999</v>
      </c>
      <c r="K8" s="184">
        <f>'1 квартал'!K8+'2 квартал'!K8+'3 квартал'!K8</f>
        <v>0</v>
      </c>
      <c r="L8" s="184">
        <f>'1 квартал'!L8+'2 квартал'!L8+'3 квартал'!L8</f>
        <v>1272822.142</v>
      </c>
      <c r="M8" s="184">
        <f>'1 квартал'!M8+'2 квартал'!M8+'3 квартал'!M8</f>
        <v>113164.39599999999</v>
      </c>
      <c r="N8" s="184">
        <f>'1 квартал'!N8+'2 квартал'!N8+'3 квартал'!N8</f>
        <v>232639.758</v>
      </c>
      <c r="O8" s="184">
        <f>'1 квартал'!O8+'2 квартал'!O8+'3 квартал'!O8</f>
        <v>153.536</v>
      </c>
    </row>
    <row r="9" spans="1:15" ht="13.5" thickTop="1" thickBot="1">
      <c r="A9" s="862"/>
      <c r="B9" s="182" t="s">
        <v>16</v>
      </c>
      <c r="C9" s="182" t="s">
        <v>17</v>
      </c>
      <c r="D9" s="183">
        <f t="shared" ref="D9:O9" si="1">SUM(D10:D11)</f>
        <v>118680</v>
      </c>
      <c r="E9" s="185">
        <f t="shared" si="1"/>
        <v>0</v>
      </c>
      <c r="F9" s="185">
        <f t="shared" si="1"/>
        <v>118680</v>
      </c>
      <c r="G9" s="185">
        <f t="shared" si="1"/>
        <v>0</v>
      </c>
      <c r="H9" s="185">
        <f t="shared" si="1"/>
        <v>0</v>
      </c>
      <c r="I9" s="185">
        <f t="shared" si="1"/>
        <v>0</v>
      </c>
      <c r="J9" s="183">
        <f t="shared" si="1"/>
        <v>75393.890999999989</v>
      </c>
      <c r="K9" s="185">
        <f t="shared" si="1"/>
        <v>0</v>
      </c>
      <c r="L9" s="185">
        <f t="shared" si="1"/>
        <v>75393.890999999989</v>
      </c>
      <c r="M9" s="185">
        <f t="shared" si="1"/>
        <v>0</v>
      </c>
      <c r="N9" s="185">
        <f t="shared" si="1"/>
        <v>0</v>
      </c>
      <c r="O9" s="185">
        <f t="shared" si="1"/>
        <v>0</v>
      </c>
    </row>
    <row r="10" spans="1:15" ht="13.5" thickTop="1" thickBot="1">
      <c r="A10" s="862"/>
      <c r="B10" s="186" t="s">
        <v>18</v>
      </c>
      <c r="C10" s="187" t="s">
        <v>192</v>
      </c>
      <c r="D10" s="188">
        <f>SUM(F10:I10)</f>
        <v>104120</v>
      </c>
      <c r="E10" s="235"/>
      <c r="F10" s="184">
        <f>'1 квартал'!F10+'2 квартал'!F10+'3 квартал'!F10</f>
        <v>104120</v>
      </c>
      <c r="G10" s="235"/>
      <c r="H10" s="235"/>
      <c r="I10" s="235"/>
      <c r="J10" s="188">
        <f>SUM(L10:O10)</f>
        <v>65542.46699999999</v>
      </c>
      <c r="K10" s="235"/>
      <c r="L10" s="184">
        <f>'1 квартал'!L10+'2 квартал'!L10+'3 квартал'!L10</f>
        <v>65542.46699999999</v>
      </c>
      <c r="M10" s="235"/>
      <c r="N10" s="235"/>
      <c r="O10" s="235"/>
    </row>
    <row r="11" spans="1:15" ht="13.5" thickTop="1" thickBot="1">
      <c r="A11" s="862"/>
      <c r="B11" s="186" t="s">
        <v>19</v>
      </c>
      <c r="C11" s="187" t="s">
        <v>191</v>
      </c>
      <c r="D11" s="188">
        <f>SUM(F11:I11)</f>
        <v>14560</v>
      </c>
      <c r="E11" s="235"/>
      <c r="F11" s="184">
        <f>'1 квартал'!F11+'2 квартал'!F11+'3 квартал'!F11</f>
        <v>14560</v>
      </c>
      <c r="G11" s="235"/>
      <c r="H11" s="235"/>
      <c r="I11" s="235"/>
      <c r="J11" s="188">
        <f>SUM(L11:O11)</f>
        <v>9851.4240000000009</v>
      </c>
      <c r="K11" s="235"/>
      <c r="L11" s="184">
        <f>'1 квартал'!L11+'2 квартал'!L11+'3 квартал'!L11</f>
        <v>9851.4240000000009</v>
      </c>
      <c r="M11" s="235"/>
      <c r="N11" s="235"/>
      <c r="O11" s="235"/>
    </row>
    <row r="12" spans="1:15" ht="13.5" thickTop="1" thickBot="1">
      <c r="A12" s="862"/>
      <c r="B12" s="182" t="s">
        <v>20</v>
      </c>
      <c r="C12" s="182" t="s">
        <v>21</v>
      </c>
      <c r="D12" s="183">
        <f>SUM(E12:I12)</f>
        <v>1765468</v>
      </c>
      <c r="E12" s="235"/>
      <c r="F12" s="184">
        <f>'1 квартал'!F12+'2 квартал'!F12+'3 квартал'!F12</f>
        <v>1441378</v>
      </c>
      <c r="G12" s="184">
        <f>'1 квартал'!G12+'2 квартал'!G12+'3 квартал'!G12</f>
        <v>294980</v>
      </c>
      <c r="H12" s="184">
        <f>'1 квартал'!H12+'2 квартал'!H12+'3 квартал'!H12</f>
        <v>29110</v>
      </c>
      <c r="I12" s="235">
        <v>0</v>
      </c>
      <c r="J12" s="183">
        <f>SUM(K12:O12)</f>
        <v>2191832.9709999999</v>
      </c>
      <c r="K12" s="235"/>
      <c r="L12" s="184">
        <f>'1 квартал'!L12+'2 квартал'!L12+'3 квартал'!L12</f>
        <v>1928308.1600000001</v>
      </c>
      <c r="M12" s="184">
        <f>'1 квартал'!M12+'2 квартал'!M12+'3 квартал'!M12</f>
        <v>238329.53899999999</v>
      </c>
      <c r="N12" s="184">
        <f>'1 квартал'!N12+'2 квартал'!N12+'3 квартал'!N12</f>
        <v>25195.272000000001</v>
      </c>
      <c r="O12" s="235"/>
    </row>
    <row r="13" spans="1:15" ht="13.5" thickTop="1" thickBot="1">
      <c r="A13" s="862"/>
      <c r="B13" s="186" t="s">
        <v>22</v>
      </c>
      <c r="C13" s="187" t="s">
        <v>23</v>
      </c>
      <c r="D13" s="183">
        <f>SUM(E13:I13)</f>
        <v>0</v>
      </c>
      <c r="E13" s="235"/>
      <c r="F13" s="235"/>
      <c r="G13" s="235"/>
      <c r="H13" s="235"/>
      <c r="I13" s="235">
        <v>0</v>
      </c>
      <c r="J13" s="183">
        <f>SUM(K13:O13)</f>
        <v>0</v>
      </c>
      <c r="K13" s="235"/>
      <c r="L13" s="235"/>
      <c r="M13" s="235"/>
      <c r="N13" s="235"/>
      <c r="O13" s="235"/>
    </row>
    <row r="14" spans="1:15" ht="13.5" thickTop="1" thickBot="1">
      <c r="A14" s="862"/>
      <c r="B14" s="182" t="s">
        <v>24</v>
      </c>
      <c r="C14" s="182" t="s">
        <v>25</v>
      </c>
      <c r="D14" s="183">
        <f>SUM(E14:I14)</f>
        <v>10500</v>
      </c>
      <c r="E14" s="235"/>
      <c r="F14" s="235"/>
      <c r="G14" s="184">
        <f>'1 квартал'!G14+'2 квартал'!G14+'3 квартал'!G14</f>
        <v>10500</v>
      </c>
      <c r="H14" s="235"/>
      <c r="I14" s="235">
        <v>0</v>
      </c>
      <c r="J14" s="183">
        <f>SUM(K14:O14)</f>
        <v>1775.7999999999993</v>
      </c>
      <c r="K14" s="235"/>
      <c r="L14" s="235"/>
      <c r="M14" s="184">
        <f>'1 квартал'!M14+'2 квартал'!M14+'3 квартал'!M14</f>
        <v>1775.7999999999993</v>
      </c>
      <c r="N14" s="235"/>
      <c r="O14" s="235"/>
    </row>
    <row r="15" spans="1:15" ht="13.5" thickTop="1" thickBot="1">
      <c r="A15" s="862"/>
      <c r="B15" s="179" t="s">
        <v>26</v>
      </c>
      <c r="C15" s="179" t="s">
        <v>27</v>
      </c>
      <c r="D15" s="180">
        <f t="shared" ref="D15:O15" si="2">SUM(D16:D18,D21)</f>
        <v>820970</v>
      </c>
      <c r="E15" s="189">
        <f t="shared" si="2"/>
        <v>0</v>
      </c>
      <c r="F15" s="189">
        <f t="shared" si="2"/>
        <v>815680</v>
      </c>
      <c r="G15" s="189">
        <f t="shared" si="2"/>
        <v>4970</v>
      </c>
      <c r="H15" s="189">
        <f t="shared" si="2"/>
        <v>120</v>
      </c>
      <c r="I15" s="189">
        <f t="shared" si="2"/>
        <v>200</v>
      </c>
      <c r="J15" s="180">
        <f t="shared" si="2"/>
        <v>1096129.423</v>
      </c>
      <c r="K15" s="189">
        <f t="shared" si="2"/>
        <v>0</v>
      </c>
      <c r="L15" s="189">
        <f t="shared" si="2"/>
        <v>1092268.9380000001</v>
      </c>
      <c r="M15" s="189">
        <f t="shared" si="2"/>
        <v>3536.1329999999998</v>
      </c>
      <c r="N15" s="189">
        <f t="shared" si="2"/>
        <v>176.82400000000001</v>
      </c>
      <c r="O15" s="189">
        <f t="shared" si="2"/>
        <v>147.52800000000002</v>
      </c>
    </row>
    <row r="16" spans="1:15" ht="13.5" thickTop="1" thickBot="1">
      <c r="A16" s="862"/>
      <c r="B16" s="182" t="s">
        <v>28</v>
      </c>
      <c r="C16" s="182" t="s">
        <v>29</v>
      </c>
      <c r="D16" s="183">
        <f>SUM(E16:I16)</f>
        <v>0</v>
      </c>
      <c r="E16" s="235"/>
      <c r="F16" s="235"/>
      <c r="G16" s="235"/>
      <c r="H16" s="235"/>
      <c r="I16" s="235">
        <v>0</v>
      </c>
      <c r="J16" s="183">
        <f>SUM(K16:O16)</f>
        <v>0</v>
      </c>
      <c r="K16" s="235"/>
      <c r="L16" s="235"/>
      <c r="M16" s="235"/>
      <c r="N16" s="235"/>
      <c r="O16" s="235"/>
    </row>
    <row r="17" spans="1:15" ht="13.5" thickTop="1" thickBot="1">
      <c r="A17" s="862"/>
      <c r="B17" s="182" t="s">
        <v>30</v>
      </c>
      <c r="C17" s="182" t="s">
        <v>31</v>
      </c>
      <c r="D17" s="183">
        <f>SUM(E17:I17)</f>
        <v>755730</v>
      </c>
      <c r="E17" s="184">
        <f>'1 квартал'!E17+'2 квартал'!E17+'3 квартал'!E17</f>
        <v>0</v>
      </c>
      <c r="F17" s="184">
        <f>'1 квартал'!F17+'2 квартал'!F17+'3 квартал'!F17</f>
        <v>755410</v>
      </c>
      <c r="G17" s="184">
        <f>'1 квартал'!G17+'2 квартал'!G17+'3 квартал'!G17</f>
        <v>0</v>
      </c>
      <c r="H17" s="184">
        <f>'1 квартал'!H17+'2 квартал'!H17+'3 квартал'!H17</f>
        <v>120</v>
      </c>
      <c r="I17" s="184">
        <f>'1 квартал'!I17+'2 квартал'!I17+'3 квартал'!I17</f>
        <v>200</v>
      </c>
      <c r="J17" s="183">
        <f>SUM(K17:O17)</f>
        <v>1011773.939</v>
      </c>
      <c r="K17" s="184">
        <f>'1 квартал'!K17+'2 квартал'!K17+'3 квартал'!K17</f>
        <v>0</v>
      </c>
      <c r="L17" s="184">
        <f>'1 квартал'!L17+'2 квартал'!L17+'3 квартал'!L17</f>
        <v>1011448.075</v>
      </c>
      <c r="M17" s="184">
        <f>'1 квартал'!M17+'2 квартал'!M17+'3 квартал'!M17</f>
        <v>1.512</v>
      </c>
      <c r="N17" s="184">
        <f>'1 квартал'!N17+'2 квартал'!N17+'3 квартал'!N17</f>
        <v>176.82400000000001</v>
      </c>
      <c r="O17" s="184">
        <f>'1 квартал'!O17+'2 квартал'!O17+'3 квартал'!O17</f>
        <v>147.52800000000002</v>
      </c>
    </row>
    <row r="18" spans="1:15" ht="13.5" thickTop="1" thickBot="1">
      <c r="A18" s="862"/>
      <c r="B18" s="182" t="s">
        <v>32</v>
      </c>
      <c r="C18" s="182" t="s">
        <v>33</v>
      </c>
      <c r="D18" s="183">
        <f t="shared" ref="D18:O18" si="3">SUM(D19:D20)</f>
        <v>33810</v>
      </c>
      <c r="E18" s="185">
        <f t="shared" si="3"/>
        <v>0</v>
      </c>
      <c r="F18" s="185">
        <f t="shared" si="3"/>
        <v>31900</v>
      </c>
      <c r="G18" s="185">
        <f t="shared" si="3"/>
        <v>1910</v>
      </c>
      <c r="H18" s="185">
        <f t="shared" si="3"/>
        <v>0</v>
      </c>
      <c r="I18" s="185">
        <f t="shared" si="3"/>
        <v>0</v>
      </c>
      <c r="J18" s="183">
        <f t="shared" si="3"/>
        <v>45393.095000000001</v>
      </c>
      <c r="K18" s="185">
        <f t="shared" si="3"/>
        <v>0</v>
      </c>
      <c r="L18" s="185">
        <f t="shared" si="3"/>
        <v>43833.37</v>
      </c>
      <c r="M18" s="185">
        <f t="shared" si="3"/>
        <v>1559.7249999999999</v>
      </c>
      <c r="N18" s="185">
        <f t="shared" si="3"/>
        <v>0</v>
      </c>
      <c r="O18" s="185">
        <f t="shared" si="3"/>
        <v>0</v>
      </c>
    </row>
    <row r="19" spans="1:15" ht="13.5" thickTop="1" thickBot="1">
      <c r="A19" s="862"/>
      <c r="B19" s="186" t="s">
        <v>34</v>
      </c>
      <c r="C19" s="187" t="s">
        <v>192</v>
      </c>
      <c r="D19" s="188">
        <f t="shared" ref="D19:D29" si="4">SUM(E19:I19)</f>
        <v>4180</v>
      </c>
      <c r="E19" s="235"/>
      <c r="F19" s="184">
        <f>'1 квартал'!F19+'2 квартал'!F19+'3 квартал'!F19</f>
        <v>4180</v>
      </c>
      <c r="G19" s="235"/>
      <c r="H19" s="235"/>
      <c r="I19" s="235">
        <v>0</v>
      </c>
      <c r="J19" s="188">
        <f t="shared" ref="J19:J29" si="5">SUM(K19:O19)</f>
        <v>21859.792000000001</v>
      </c>
      <c r="K19" s="235"/>
      <c r="L19" s="184">
        <f>'1 квартал'!L19+'2 квартал'!L19+'3 квартал'!L19</f>
        <v>21859.792000000001</v>
      </c>
      <c r="M19" s="235"/>
      <c r="N19" s="235"/>
      <c r="O19" s="235"/>
    </row>
    <row r="20" spans="1:15" ht="13.5" thickTop="1" thickBot="1">
      <c r="A20" s="862"/>
      <c r="B20" s="190" t="s">
        <v>35</v>
      </c>
      <c r="C20" s="187" t="s">
        <v>191</v>
      </c>
      <c r="D20" s="188">
        <f t="shared" si="4"/>
        <v>29630</v>
      </c>
      <c r="E20" s="235"/>
      <c r="F20" s="184">
        <f>'1 квартал'!F20+'2 квартал'!F20+'3 квартал'!F20</f>
        <v>27720</v>
      </c>
      <c r="G20" s="184">
        <f>'1 квартал'!G20+'2 квартал'!G20+'3 квартал'!G20</f>
        <v>1910</v>
      </c>
      <c r="H20" s="235"/>
      <c r="I20" s="235">
        <v>0</v>
      </c>
      <c r="J20" s="188">
        <f t="shared" si="5"/>
        <v>23533.303</v>
      </c>
      <c r="K20" s="235"/>
      <c r="L20" s="184">
        <f>'1 квартал'!L20+'2 квартал'!L20+'3 квартал'!L20</f>
        <v>21973.578000000001</v>
      </c>
      <c r="M20" s="184">
        <f>'1 квартал'!M20+'2 квартал'!M20+'3 квартал'!M20</f>
        <v>1559.7249999999999</v>
      </c>
      <c r="N20" s="235"/>
      <c r="O20" s="235"/>
    </row>
    <row r="21" spans="1:15" ht="13.5" thickTop="1" thickBot="1">
      <c r="A21" s="862"/>
      <c r="B21" s="182" t="s">
        <v>36</v>
      </c>
      <c r="C21" s="182" t="s">
        <v>37</v>
      </c>
      <c r="D21" s="183">
        <f t="shared" si="4"/>
        <v>31430</v>
      </c>
      <c r="E21" s="235"/>
      <c r="F21" s="184">
        <f>'1 квартал'!F21+'2 квартал'!F21+'3 квартал'!F21</f>
        <v>28370</v>
      </c>
      <c r="G21" s="184">
        <f>'1 квартал'!G21+'2 квартал'!G21+'3 квартал'!G21</f>
        <v>3060</v>
      </c>
      <c r="H21" s="235"/>
      <c r="I21" s="235">
        <v>0</v>
      </c>
      <c r="J21" s="183">
        <f t="shared" si="5"/>
        <v>38962.389000000003</v>
      </c>
      <c r="K21" s="235"/>
      <c r="L21" s="184">
        <f>'1 квартал'!L21+'2 квартал'!L21+'3 квартал'!L21</f>
        <v>36987.493000000002</v>
      </c>
      <c r="M21" s="184">
        <f>'1 квартал'!M21+'2 квартал'!M21+'3 квартал'!M21</f>
        <v>1974.8960000000002</v>
      </c>
      <c r="N21" s="235"/>
      <c r="O21" s="235"/>
    </row>
    <row r="22" spans="1:15" s="17" customFormat="1" ht="13.5" thickTop="1" thickBot="1">
      <c r="A22" s="862"/>
      <c r="B22" s="232" t="s">
        <v>38</v>
      </c>
      <c r="C22" s="232" t="s">
        <v>39</v>
      </c>
      <c r="D22" s="192">
        <f t="shared" si="4"/>
        <v>2970210</v>
      </c>
      <c r="E22" s="192">
        <f>SUM(E23:E25,E28,E29)</f>
        <v>0</v>
      </c>
      <c r="F22" s="192">
        <f>SUM(F23:F25,F28,F29)</f>
        <v>2272030</v>
      </c>
      <c r="G22" s="192">
        <f>SUM(G23:G25,G28,G29)</f>
        <v>423040</v>
      </c>
      <c r="H22" s="192">
        <f>SUM(H23:H25,H28,H29)</f>
        <v>275250</v>
      </c>
      <c r="I22" s="192">
        <f>SUM(I23:I25,I28,I29)</f>
        <v>-110</v>
      </c>
      <c r="J22" s="192">
        <f t="shared" si="5"/>
        <v>2791653.071</v>
      </c>
      <c r="K22" s="192">
        <f>SUM(K23:K25,K28,K29)</f>
        <v>0</v>
      </c>
      <c r="L22" s="192">
        <f>SUM(L23:L25,L28,L29)</f>
        <v>2184255.2550000004</v>
      </c>
      <c r="M22" s="192">
        <f>SUM(M23:M25,M28,M29)</f>
        <v>349733.60199999996</v>
      </c>
      <c r="N22" s="192">
        <f>SUM(N23:N25,N28,N29)</f>
        <v>257658.20600000001</v>
      </c>
      <c r="O22" s="192">
        <f>SUM(O23:O25,O28,O29)</f>
        <v>6.0079999999999814</v>
      </c>
    </row>
    <row r="23" spans="1:15" ht="13.5" thickTop="1" thickBot="1">
      <c r="A23" s="862"/>
      <c r="B23" s="182" t="s">
        <v>40</v>
      </c>
      <c r="C23" s="182" t="s">
        <v>41</v>
      </c>
      <c r="D23" s="183">
        <f t="shared" si="4"/>
        <v>0</v>
      </c>
      <c r="E23" s="183">
        <f t="shared" ref="E23:I28" si="6">E7-E16</f>
        <v>0</v>
      </c>
      <c r="F23" s="183">
        <f t="shared" si="6"/>
        <v>0</v>
      </c>
      <c r="G23" s="183">
        <f t="shared" si="6"/>
        <v>0</v>
      </c>
      <c r="H23" s="183">
        <f t="shared" si="6"/>
        <v>0</v>
      </c>
      <c r="I23" s="183">
        <f t="shared" si="6"/>
        <v>0</v>
      </c>
      <c r="J23" s="183">
        <f t="shared" si="5"/>
        <v>0</v>
      </c>
      <c r="K23" s="183">
        <f t="shared" ref="K23:O28" si="7">K7-K16</f>
        <v>0</v>
      </c>
      <c r="L23" s="183">
        <f t="shared" si="7"/>
        <v>0</v>
      </c>
      <c r="M23" s="183">
        <f t="shared" si="7"/>
        <v>0</v>
      </c>
      <c r="N23" s="183">
        <f t="shared" si="7"/>
        <v>0</v>
      </c>
      <c r="O23" s="183">
        <f t="shared" si="7"/>
        <v>0</v>
      </c>
    </row>
    <row r="24" spans="1:15" ht="13.5" thickTop="1" thickBot="1">
      <c r="A24" s="862"/>
      <c r="B24" s="182" t="s">
        <v>42</v>
      </c>
      <c r="C24" s="182" t="s">
        <v>43</v>
      </c>
      <c r="D24" s="183">
        <f t="shared" si="4"/>
        <v>1140802</v>
      </c>
      <c r="E24" s="183">
        <f t="shared" si="6"/>
        <v>0</v>
      </c>
      <c r="F24" s="183">
        <f t="shared" si="6"/>
        <v>772242</v>
      </c>
      <c r="G24" s="183">
        <f t="shared" si="6"/>
        <v>122530</v>
      </c>
      <c r="H24" s="183">
        <f t="shared" si="6"/>
        <v>246140</v>
      </c>
      <c r="I24" s="183">
        <f t="shared" si="6"/>
        <v>-110</v>
      </c>
      <c r="J24" s="183">
        <f t="shared" si="5"/>
        <v>607005.89300000004</v>
      </c>
      <c r="K24" s="183">
        <f t="shared" si="7"/>
        <v>0</v>
      </c>
      <c r="L24" s="183">
        <f t="shared" si="7"/>
        <v>261374.06700000004</v>
      </c>
      <c r="M24" s="183">
        <f t="shared" si="7"/>
        <v>113162.88399999999</v>
      </c>
      <c r="N24" s="183">
        <f t="shared" si="7"/>
        <v>232462.93400000001</v>
      </c>
      <c r="O24" s="183">
        <f t="shared" si="7"/>
        <v>6.0079999999999814</v>
      </c>
    </row>
    <row r="25" spans="1:15" ht="13.5" thickTop="1" thickBot="1">
      <c r="A25" s="862"/>
      <c r="B25" s="182" t="s">
        <v>44</v>
      </c>
      <c r="C25" s="182" t="s">
        <v>45</v>
      </c>
      <c r="D25" s="183">
        <f t="shared" si="4"/>
        <v>84870</v>
      </c>
      <c r="E25" s="183">
        <f t="shared" si="6"/>
        <v>0</v>
      </c>
      <c r="F25" s="183">
        <f t="shared" si="6"/>
        <v>86780</v>
      </c>
      <c r="G25" s="183">
        <f t="shared" si="6"/>
        <v>-1910</v>
      </c>
      <c r="H25" s="183">
        <f t="shared" si="6"/>
        <v>0</v>
      </c>
      <c r="I25" s="183">
        <f t="shared" si="6"/>
        <v>0</v>
      </c>
      <c r="J25" s="183">
        <f t="shared" si="5"/>
        <v>30000.795999999988</v>
      </c>
      <c r="K25" s="183">
        <f t="shared" si="7"/>
        <v>0</v>
      </c>
      <c r="L25" s="183">
        <f t="shared" si="7"/>
        <v>31560.520999999986</v>
      </c>
      <c r="M25" s="183">
        <f t="shared" si="7"/>
        <v>-1559.7249999999999</v>
      </c>
      <c r="N25" s="183">
        <f t="shared" si="7"/>
        <v>0</v>
      </c>
      <c r="O25" s="183">
        <f t="shared" si="7"/>
        <v>0</v>
      </c>
    </row>
    <row r="26" spans="1:15" ht="13.5" thickTop="1" thickBot="1">
      <c r="A26" s="862"/>
      <c r="B26" s="186" t="s">
        <v>46</v>
      </c>
      <c r="C26" s="187" t="s">
        <v>192</v>
      </c>
      <c r="D26" s="183">
        <f t="shared" si="4"/>
        <v>99940</v>
      </c>
      <c r="E26" s="188">
        <f t="shared" si="6"/>
        <v>0</v>
      </c>
      <c r="F26" s="188">
        <f t="shared" si="6"/>
        <v>99940</v>
      </c>
      <c r="G26" s="188">
        <f t="shared" si="6"/>
        <v>0</v>
      </c>
      <c r="H26" s="188">
        <f t="shared" si="6"/>
        <v>0</v>
      </c>
      <c r="I26" s="188">
        <f t="shared" si="6"/>
        <v>0</v>
      </c>
      <c r="J26" s="183">
        <f t="shared" si="5"/>
        <v>43682.674999999988</v>
      </c>
      <c r="K26" s="188">
        <f t="shared" si="7"/>
        <v>0</v>
      </c>
      <c r="L26" s="188">
        <f t="shared" si="7"/>
        <v>43682.674999999988</v>
      </c>
      <c r="M26" s="188">
        <f t="shared" si="7"/>
        <v>0</v>
      </c>
      <c r="N26" s="188">
        <f t="shared" si="7"/>
        <v>0</v>
      </c>
      <c r="O26" s="188">
        <f t="shared" si="7"/>
        <v>0</v>
      </c>
    </row>
    <row r="27" spans="1:15" ht="13.5" thickTop="1" thickBot="1">
      <c r="A27" s="862"/>
      <c r="B27" s="186" t="s">
        <v>47</v>
      </c>
      <c r="C27" s="187" t="s">
        <v>191</v>
      </c>
      <c r="D27" s="183">
        <f t="shared" si="4"/>
        <v>-15070</v>
      </c>
      <c r="E27" s="188">
        <f t="shared" si="6"/>
        <v>0</v>
      </c>
      <c r="F27" s="188">
        <f t="shared" si="6"/>
        <v>-13160</v>
      </c>
      <c r="G27" s="188">
        <f t="shared" si="6"/>
        <v>-1910</v>
      </c>
      <c r="H27" s="188">
        <f t="shared" si="6"/>
        <v>0</v>
      </c>
      <c r="I27" s="188">
        <f t="shared" si="6"/>
        <v>0</v>
      </c>
      <c r="J27" s="183">
        <f t="shared" si="5"/>
        <v>-13681.879000000001</v>
      </c>
      <c r="K27" s="188">
        <f t="shared" si="7"/>
        <v>0</v>
      </c>
      <c r="L27" s="188">
        <f t="shared" si="7"/>
        <v>-12122.154</v>
      </c>
      <c r="M27" s="188">
        <f t="shared" si="7"/>
        <v>-1559.7249999999999</v>
      </c>
      <c r="N27" s="188">
        <f t="shared" si="7"/>
        <v>0</v>
      </c>
      <c r="O27" s="188">
        <f t="shared" si="7"/>
        <v>0</v>
      </c>
    </row>
    <row r="28" spans="1:15" ht="13.5" thickTop="1" thickBot="1">
      <c r="A28" s="862"/>
      <c r="B28" s="182" t="s">
        <v>48</v>
      </c>
      <c r="C28" s="182" t="s">
        <v>49</v>
      </c>
      <c r="D28" s="183">
        <f t="shared" si="4"/>
        <v>1734038</v>
      </c>
      <c r="E28" s="183">
        <f t="shared" si="6"/>
        <v>0</v>
      </c>
      <c r="F28" s="183">
        <f t="shared" si="6"/>
        <v>1413008</v>
      </c>
      <c r="G28" s="183">
        <f t="shared" si="6"/>
        <v>291920</v>
      </c>
      <c r="H28" s="183">
        <f t="shared" si="6"/>
        <v>29110</v>
      </c>
      <c r="I28" s="183">
        <f t="shared" si="6"/>
        <v>0</v>
      </c>
      <c r="J28" s="183">
        <f t="shared" si="5"/>
        <v>2152870.5819999999</v>
      </c>
      <c r="K28" s="183">
        <f t="shared" si="7"/>
        <v>0</v>
      </c>
      <c r="L28" s="183">
        <f t="shared" si="7"/>
        <v>1891320.6670000001</v>
      </c>
      <c r="M28" s="183">
        <f t="shared" si="7"/>
        <v>236354.64299999998</v>
      </c>
      <c r="N28" s="183">
        <f t="shared" si="7"/>
        <v>25195.272000000001</v>
      </c>
      <c r="O28" s="183">
        <f t="shared" si="7"/>
        <v>0</v>
      </c>
    </row>
    <row r="29" spans="1:15" ht="13.5" thickTop="1" thickBot="1">
      <c r="A29" s="862"/>
      <c r="B29" s="182" t="s">
        <v>50</v>
      </c>
      <c r="C29" s="182" t="s">
        <v>25</v>
      </c>
      <c r="D29" s="183">
        <f t="shared" si="4"/>
        <v>10500</v>
      </c>
      <c r="E29" s="183">
        <f>E14</f>
        <v>0</v>
      </c>
      <c r="F29" s="183">
        <f>F14</f>
        <v>0</v>
      </c>
      <c r="G29" s="183">
        <f>G14</f>
        <v>10500</v>
      </c>
      <c r="H29" s="183">
        <f>H14</f>
        <v>0</v>
      </c>
      <c r="I29" s="183">
        <f>I14</f>
        <v>0</v>
      </c>
      <c r="J29" s="183">
        <f t="shared" si="5"/>
        <v>1775.7999999999993</v>
      </c>
      <c r="K29" s="183">
        <f>K14</f>
        <v>0</v>
      </c>
      <c r="L29" s="183">
        <f>L14</f>
        <v>0</v>
      </c>
      <c r="M29" s="183">
        <f>M14</f>
        <v>1775.7999999999993</v>
      </c>
      <c r="N29" s="183">
        <f>N14</f>
        <v>0</v>
      </c>
      <c r="O29" s="183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180">
        <f>SUM(F30:I30)</f>
        <v>3634954</v>
      </c>
      <c r="E30" s="180"/>
      <c r="F30" s="180">
        <f>SUM(F31:F33)</f>
        <v>0</v>
      </c>
      <c r="G30" s="180">
        <f>SUM(G31:G33)</f>
        <v>465864</v>
      </c>
      <c r="H30" s="180">
        <f>SUM(H31:H33)</f>
        <v>1912190</v>
      </c>
      <c r="I30" s="180">
        <f>SUM(I31:I33)</f>
        <v>1256900</v>
      </c>
      <c r="J30" s="180">
        <f>SUM(L30:O30)</f>
        <v>3407507.2436299999</v>
      </c>
      <c r="K30" s="180"/>
      <c r="L30" s="180">
        <f>SUM(L31:L33)</f>
        <v>0</v>
      </c>
      <c r="M30" s="180">
        <f>SUM(M31:M33)</f>
        <v>402532.90810499992</v>
      </c>
      <c r="N30" s="180">
        <f>SUM(N31:N33)</f>
        <v>1804110.2585250002</v>
      </c>
      <c r="O30" s="180">
        <f>SUM(O31:O33)</f>
        <v>1200864.077</v>
      </c>
    </row>
    <row r="31" spans="1:15" ht="13.5" thickTop="1" thickBot="1">
      <c r="A31" s="862"/>
      <c r="B31" s="182" t="s">
        <v>54</v>
      </c>
      <c r="C31" s="182" t="s">
        <v>55</v>
      </c>
      <c r="D31" s="183">
        <f t="shared" ref="D31:D43" si="8">SUM(E31:I31)</f>
        <v>1552880</v>
      </c>
      <c r="E31" s="195"/>
      <c r="F31" s="235"/>
      <c r="G31" s="184">
        <f>'1 квартал'!G31+'2 квартал'!G31+'3 квартал'!G31</f>
        <v>465864</v>
      </c>
      <c r="H31" s="184">
        <f>'1 квартал'!H31+'2 квартал'!H31+'3 квартал'!H31</f>
        <v>1087016</v>
      </c>
      <c r="I31" s="195"/>
      <c r="J31" s="183">
        <f t="shared" ref="J31:J43" si="9">SUM(K31:O31)</f>
        <v>1503033.4225250001</v>
      </c>
      <c r="K31" s="195"/>
      <c r="L31" s="196"/>
      <c r="M31" s="183">
        <f>L36</f>
        <v>402532.90810499992</v>
      </c>
      <c r="N31" s="183">
        <f>L37</f>
        <v>1100500.5144200001</v>
      </c>
      <c r="O31" s="195"/>
    </row>
    <row r="32" spans="1:15" ht="13.5" thickTop="1" thickBot="1">
      <c r="A32" s="862"/>
      <c r="B32" s="182" t="s">
        <v>56</v>
      </c>
      <c r="C32" s="182" t="s">
        <v>57</v>
      </c>
      <c r="D32" s="183">
        <f t="shared" si="8"/>
        <v>825174</v>
      </c>
      <c r="E32" s="195"/>
      <c r="F32" s="195"/>
      <c r="G32" s="195"/>
      <c r="H32" s="184">
        <f>'1 квартал'!H32+'2 квартал'!H32+'3 квартал'!H32</f>
        <v>825174</v>
      </c>
      <c r="I32" s="235"/>
      <c r="J32" s="183">
        <f t="shared" si="9"/>
        <v>703609.74410500005</v>
      </c>
      <c r="K32" s="195"/>
      <c r="L32" s="195"/>
      <c r="M32" s="195"/>
      <c r="N32" s="183">
        <f>M37</f>
        <v>703609.74410500005</v>
      </c>
      <c r="O32" s="196">
        <f>M43</f>
        <v>0</v>
      </c>
    </row>
    <row r="33" spans="1:15" ht="13.5" thickTop="1" thickBot="1">
      <c r="A33" s="862"/>
      <c r="B33" s="182" t="s">
        <v>58</v>
      </c>
      <c r="C33" s="182" t="s">
        <v>59</v>
      </c>
      <c r="D33" s="183">
        <f t="shared" si="8"/>
        <v>1256900</v>
      </c>
      <c r="E33" s="195"/>
      <c r="F33" s="195"/>
      <c r="G33" s="195"/>
      <c r="H33" s="195"/>
      <c r="I33" s="184">
        <f>'1 квартал'!I33+'2 квартал'!I33+'3 квартал'!I33</f>
        <v>1256900</v>
      </c>
      <c r="J33" s="183">
        <f t="shared" si="9"/>
        <v>1200864.077</v>
      </c>
      <c r="K33" s="195"/>
      <c r="L33" s="195"/>
      <c r="M33" s="195"/>
      <c r="N33" s="195"/>
      <c r="O33" s="183">
        <f>M38+N38</f>
        <v>1200864.077</v>
      </c>
    </row>
    <row r="34" spans="1:15" ht="13.5" thickTop="1" thickBot="1">
      <c r="A34" s="862"/>
      <c r="B34" s="179" t="s">
        <v>60</v>
      </c>
      <c r="C34" s="179" t="s">
        <v>61</v>
      </c>
      <c r="D34" s="180">
        <f t="shared" si="8"/>
        <v>3634954</v>
      </c>
      <c r="E34" s="180"/>
      <c r="F34" s="180">
        <f>SUM(F35:F38)</f>
        <v>1552880</v>
      </c>
      <c r="G34" s="180">
        <f>SUM(G35:G38)</f>
        <v>825174</v>
      </c>
      <c r="H34" s="180">
        <f>SUM(H35:H38)</f>
        <v>1256900</v>
      </c>
      <c r="I34" s="181">
        <f>SUM(I35:I38)</f>
        <v>0</v>
      </c>
      <c r="J34" s="180">
        <f t="shared" si="9"/>
        <v>3407507.2436299999</v>
      </c>
      <c r="K34" s="180"/>
      <c r="L34" s="180">
        <f>SUM(L35:L38)</f>
        <v>1503033.4225250001</v>
      </c>
      <c r="M34" s="180">
        <f>SUM(M35:M38)</f>
        <v>703609.74410500005</v>
      </c>
      <c r="N34" s="180">
        <f>SUM(N35:N38)</f>
        <v>1200864.077</v>
      </c>
      <c r="O34" s="181">
        <f>SUM(O35:O38)</f>
        <v>0</v>
      </c>
    </row>
    <row r="35" spans="1:15" ht="13.5" thickTop="1" thickBot="1">
      <c r="A35" s="862"/>
      <c r="B35" s="182" t="s">
        <v>62</v>
      </c>
      <c r="C35" s="182" t="s">
        <v>63</v>
      </c>
      <c r="D35" s="183">
        <f t="shared" si="8"/>
        <v>0</v>
      </c>
      <c r="E35" s="196"/>
      <c r="F35" s="195"/>
      <c r="G35" s="195"/>
      <c r="H35" s="195"/>
      <c r="I35" s="195"/>
      <c r="J35" s="183">
        <f t="shared" si="9"/>
        <v>0</v>
      </c>
      <c r="K35" s="196"/>
      <c r="L35" s="195"/>
      <c r="M35" s="195"/>
      <c r="N35" s="195"/>
      <c r="O35" s="195"/>
    </row>
    <row r="36" spans="1:15" ht="13.5" thickTop="1" thickBot="1">
      <c r="A36" s="862"/>
      <c r="B36" s="182" t="s">
        <v>64</v>
      </c>
      <c r="C36" s="182" t="s">
        <v>65</v>
      </c>
      <c r="D36" s="183">
        <f t="shared" si="8"/>
        <v>465864</v>
      </c>
      <c r="E36" s="183"/>
      <c r="F36" s="185">
        <f>G31</f>
        <v>465864</v>
      </c>
      <c r="G36" s="195"/>
      <c r="H36" s="195"/>
      <c r="I36" s="195"/>
      <c r="J36" s="183">
        <f t="shared" si="9"/>
        <v>402532.90810499992</v>
      </c>
      <c r="K36" s="183"/>
      <c r="L36" s="184">
        <f>'1 квартал'!L36+'2 квартал'!L36+'3 квартал'!L36</f>
        <v>402532.90810499992</v>
      </c>
      <c r="M36" s="195"/>
      <c r="N36" s="195"/>
      <c r="O36" s="195"/>
    </row>
    <row r="37" spans="1:15" ht="13.5" thickTop="1" thickBot="1">
      <c r="A37" s="862"/>
      <c r="B37" s="182" t="s">
        <v>66</v>
      </c>
      <c r="C37" s="182" t="s">
        <v>67</v>
      </c>
      <c r="D37" s="183">
        <f t="shared" si="8"/>
        <v>1912190</v>
      </c>
      <c r="E37" s="183"/>
      <c r="F37" s="185">
        <f>H31</f>
        <v>1087016</v>
      </c>
      <c r="G37" s="185">
        <f>H32</f>
        <v>825174</v>
      </c>
      <c r="H37" s="195"/>
      <c r="I37" s="195"/>
      <c r="J37" s="183">
        <f t="shared" si="9"/>
        <v>1804110.2585250002</v>
      </c>
      <c r="K37" s="183"/>
      <c r="L37" s="184">
        <f>'1 квартал'!L37+'2 квартал'!L37+'3 квартал'!L37</f>
        <v>1100500.5144200001</v>
      </c>
      <c r="M37" s="184">
        <f>'1 квартал'!M37+'2 квартал'!M37+'3 квартал'!M37</f>
        <v>703609.74410500005</v>
      </c>
      <c r="N37" s="195"/>
      <c r="O37" s="195"/>
    </row>
    <row r="38" spans="1:15" ht="13.5" thickTop="1" thickBot="1">
      <c r="A38" s="862"/>
      <c r="B38" s="182" t="s">
        <v>68</v>
      </c>
      <c r="C38" s="182" t="s">
        <v>69</v>
      </c>
      <c r="D38" s="183">
        <f t="shared" si="8"/>
        <v>1256900</v>
      </c>
      <c r="E38" s="195"/>
      <c r="F38" s="195"/>
      <c r="G38" s="196"/>
      <c r="H38" s="185">
        <f>I33</f>
        <v>1256900</v>
      </c>
      <c r="I38" s="195"/>
      <c r="J38" s="183">
        <f t="shared" si="9"/>
        <v>1200864.077</v>
      </c>
      <c r="K38" s="195"/>
      <c r="L38" s="195"/>
      <c r="M38" s="196"/>
      <c r="N38" s="184">
        <f>'1 квартал'!N38+'2 квартал'!N38+'3 квартал'!N38</f>
        <v>1200864.077</v>
      </c>
      <c r="O38" s="195"/>
    </row>
    <row r="39" spans="1:15" s="17" customFormat="1" ht="13.5" thickTop="1" thickBot="1">
      <c r="A39" s="862"/>
      <c r="B39" s="232" t="s">
        <v>70</v>
      </c>
      <c r="C39" s="232" t="s">
        <v>71</v>
      </c>
      <c r="D39" s="192">
        <f t="shared" si="8"/>
        <v>0</v>
      </c>
      <c r="E39" s="192"/>
      <c r="F39" s="192">
        <f>SUM(F40:F43)</f>
        <v>-1552880</v>
      </c>
      <c r="G39" s="192">
        <f>SUM(G40:G43)</f>
        <v>-359310</v>
      </c>
      <c r="H39" s="192">
        <f>SUM(H40:H43)</f>
        <v>655290</v>
      </c>
      <c r="I39" s="192">
        <f>SUM(I40:I43)</f>
        <v>1256900</v>
      </c>
      <c r="J39" s="192">
        <f t="shared" si="9"/>
        <v>0</v>
      </c>
      <c r="K39" s="192"/>
      <c r="L39" s="192">
        <f>SUM(L40:L43)</f>
        <v>-1503033.4225250001</v>
      </c>
      <c r="M39" s="192">
        <f>SUM(M40:M43)</f>
        <v>-301076.83600000013</v>
      </c>
      <c r="N39" s="192">
        <f>SUM(N40:N43)</f>
        <v>603246.18152500014</v>
      </c>
      <c r="O39" s="192">
        <f>SUM(O40:O43)</f>
        <v>1200864.077</v>
      </c>
    </row>
    <row r="40" spans="1:15" ht="13.5" thickTop="1" thickBot="1">
      <c r="A40" s="862"/>
      <c r="B40" s="182" t="s">
        <v>72</v>
      </c>
      <c r="C40" s="182" t="s">
        <v>5</v>
      </c>
      <c r="D40" s="183">
        <f t="shared" si="8"/>
        <v>1552880</v>
      </c>
      <c r="E40" s="196"/>
      <c r="F40" s="196">
        <f>F31-F35</f>
        <v>0</v>
      </c>
      <c r="G40" s="196">
        <f>G31-G35</f>
        <v>465864</v>
      </c>
      <c r="H40" s="196">
        <f>H31-H35</f>
        <v>1087016</v>
      </c>
      <c r="I40" s="195"/>
      <c r="J40" s="183">
        <f t="shared" si="9"/>
        <v>1503033.4225250001</v>
      </c>
      <c r="K40" s="196"/>
      <c r="L40" s="196">
        <f>L31-L35</f>
        <v>0</v>
      </c>
      <c r="M40" s="196">
        <f>M31-M35</f>
        <v>402532.90810499992</v>
      </c>
      <c r="N40" s="196">
        <f>N31-N35</f>
        <v>1100500.5144200001</v>
      </c>
      <c r="O40" s="195"/>
    </row>
    <row r="41" spans="1:15" ht="13.5" thickTop="1" thickBot="1">
      <c r="A41" s="862"/>
      <c r="B41" s="182" t="s">
        <v>73</v>
      </c>
      <c r="C41" s="182" t="s">
        <v>74</v>
      </c>
      <c r="D41" s="183">
        <f t="shared" si="8"/>
        <v>359310</v>
      </c>
      <c r="E41" s="196">
        <f>E32-E36</f>
        <v>0</v>
      </c>
      <c r="F41" s="196">
        <f>F32-F36</f>
        <v>-465864</v>
      </c>
      <c r="G41" s="195"/>
      <c r="H41" s="196">
        <f>H32-H36</f>
        <v>825174</v>
      </c>
      <c r="I41" s="195"/>
      <c r="J41" s="183">
        <f t="shared" si="9"/>
        <v>301076.83600000013</v>
      </c>
      <c r="K41" s="196">
        <f>K32-K36</f>
        <v>0</v>
      </c>
      <c r="L41" s="196">
        <f>L32-L36</f>
        <v>-402532.90810499992</v>
      </c>
      <c r="M41" s="195"/>
      <c r="N41" s="196">
        <f>N32-N36</f>
        <v>703609.74410500005</v>
      </c>
      <c r="O41" s="195"/>
    </row>
    <row r="42" spans="1:15" ht="13.5" thickTop="1" thickBot="1">
      <c r="A42" s="862"/>
      <c r="B42" s="182" t="s">
        <v>75</v>
      </c>
      <c r="C42" s="182" t="s">
        <v>76</v>
      </c>
      <c r="D42" s="183">
        <f t="shared" si="8"/>
        <v>-655290</v>
      </c>
      <c r="E42" s="196">
        <f>E33-E37</f>
        <v>0</v>
      </c>
      <c r="F42" s="196">
        <f>F33-F37</f>
        <v>-1087016</v>
      </c>
      <c r="G42" s="196">
        <f>G33-G37</f>
        <v>-825174</v>
      </c>
      <c r="H42" s="195"/>
      <c r="I42" s="196">
        <f>I33-I37</f>
        <v>1256900</v>
      </c>
      <c r="J42" s="183">
        <f t="shared" si="9"/>
        <v>-603246.18152500014</v>
      </c>
      <c r="K42" s="196">
        <f>K33-K37</f>
        <v>0</v>
      </c>
      <c r="L42" s="196">
        <f>L33-L37</f>
        <v>-1100500.5144200001</v>
      </c>
      <c r="M42" s="196">
        <f>M33-M37</f>
        <v>-703609.74410500005</v>
      </c>
      <c r="N42" s="195"/>
      <c r="O42" s="196">
        <f>O33-O37</f>
        <v>1200864.077</v>
      </c>
    </row>
    <row r="43" spans="1:15" ht="13.5" thickTop="1" thickBot="1">
      <c r="A43" s="862"/>
      <c r="B43" s="199" t="s">
        <v>77</v>
      </c>
      <c r="C43" s="199" t="s">
        <v>8</v>
      </c>
      <c r="D43" s="196">
        <f t="shared" si="8"/>
        <v>-1256900</v>
      </c>
      <c r="E43" s="195"/>
      <c r="F43" s="195"/>
      <c r="G43" s="196"/>
      <c r="H43" s="196">
        <f>-H38</f>
        <v>-1256900</v>
      </c>
      <c r="I43" s="195"/>
      <c r="J43" s="196">
        <f t="shared" si="9"/>
        <v>-1200864.077</v>
      </c>
      <c r="K43" s="195"/>
      <c r="L43" s="195"/>
      <c r="M43" s="196"/>
      <c r="N43" s="196">
        <f>-N38</f>
        <v>-1200864.077</v>
      </c>
      <c r="O43" s="195"/>
    </row>
    <row r="44" spans="1:15" ht="13.5" thickTop="1" thickBot="1">
      <c r="A44" s="177"/>
      <c r="B44" s="200" t="s">
        <v>78</v>
      </c>
      <c r="C44" s="200" t="s">
        <v>79</v>
      </c>
      <c r="D44" s="201">
        <f>D22</f>
        <v>2970210</v>
      </c>
      <c r="E44" s="201">
        <f>E22+E30</f>
        <v>0</v>
      </c>
      <c r="F44" s="201">
        <f>F22+F30</f>
        <v>2272030</v>
      </c>
      <c r="G44" s="201">
        <f>G22+G30</f>
        <v>888904</v>
      </c>
      <c r="H44" s="201">
        <f>H22+H30</f>
        <v>2187440</v>
      </c>
      <c r="I44" s="201">
        <f>I22+I30</f>
        <v>1256790</v>
      </c>
      <c r="J44" s="201">
        <f>J22</f>
        <v>2791653.071</v>
      </c>
      <c r="K44" s="201">
        <f>K22+K30</f>
        <v>0</v>
      </c>
      <c r="L44" s="201">
        <f>L22+L30</f>
        <v>2184255.2550000004</v>
      </c>
      <c r="M44" s="201">
        <f>M22+M30</f>
        <v>752266.51010499988</v>
      </c>
      <c r="N44" s="201">
        <f>N22+N30</f>
        <v>2061768.4645250002</v>
      </c>
      <c r="O44" s="201">
        <f>O22+O30</f>
        <v>1200870.085</v>
      </c>
    </row>
    <row r="45" spans="1:15" ht="13.5" thickTop="1" thickBot="1">
      <c r="A45" s="177"/>
      <c r="B45" s="202" t="s">
        <v>80</v>
      </c>
      <c r="C45" s="202" t="s">
        <v>81</v>
      </c>
      <c r="D45" s="203">
        <f>D44</f>
        <v>2970210</v>
      </c>
      <c r="E45" s="203">
        <f>E143+E151+E34</f>
        <v>0</v>
      </c>
      <c r="F45" s="203">
        <f>F143+F151+F34-G49-H49-G73-H73-G78-H78-H54-H97-H109-G97-G102-H102-G109-G114-H114-G121-H121-G126-H126-G133-H133</f>
        <v>2272030</v>
      </c>
      <c r="G45" s="203">
        <f>G143+G151+G34-H50-I50-H55-I55-H62-I62-H67-I67-H98-H74-H79-H86-H91-H103-H110-H115-H122-H127-H134</f>
        <v>865864.2</v>
      </c>
      <c r="H45" s="203">
        <f>H143+H151+H34-I51-I56-I63-I68-I75-I80-I87-I92-I99-I104-I111-I116-I123-I128</f>
        <v>2001642.5</v>
      </c>
      <c r="I45" s="203">
        <f>I151+I143</f>
        <v>1247928.5</v>
      </c>
      <c r="J45" s="203">
        <f>J44</f>
        <v>2791653.071</v>
      </c>
      <c r="K45" s="203">
        <f>K143+K151+K34</f>
        <v>0</v>
      </c>
      <c r="L45" s="203">
        <f>L143+L151+L34-M49-N49-M73-N73-M78-N78-N54-N97-N109-M97-M102-N102-M109-M114-N114-M121-N121-M126-N126-M133-N133</f>
        <v>2184255.2550000008</v>
      </c>
      <c r="M45" s="203">
        <f>M143+M151+M34-N50-O50-N55-O55-N62-O62-N67-O67-N98-N74-N79-N86-N91-N103-N110-N115-N122-N127-N134</f>
        <v>737123.28210499987</v>
      </c>
      <c r="N45" s="203">
        <f>N143+N151+N34-O51-O56-O63-O68-O75-O80-O87-O92-O99-O104-O111-O116-O123-O128</f>
        <v>1885883.392125</v>
      </c>
      <c r="O45" s="203">
        <f>O151+O143</f>
        <v>1190174.297</v>
      </c>
    </row>
    <row r="46" spans="1:15" ht="13.5" thickTop="1" thickBot="1">
      <c r="A46" s="862" t="s">
        <v>82</v>
      </c>
      <c r="B46" s="179" t="s">
        <v>83</v>
      </c>
      <c r="C46" s="179" t="s">
        <v>84</v>
      </c>
      <c r="D46" s="181">
        <f>SUM(E46:I46)</f>
        <v>2514390</v>
      </c>
      <c r="E46" s="322">
        <f>E47+E59+E71+E83+E95</f>
        <v>0</v>
      </c>
      <c r="F46" s="322">
        <f>F47+F59+F71+F83+F95+F107+F119+F131</f>
        <v>648570</v>
      </c>
      <c r="G46" s="322">
        <f>G47+G59+G71+G83+G95+G107+G119+G131</f>
        <v>29260</v>
      </c>
      <c r="H46" s="322">
        <f>H47+H59+H71+H83+H95+H107+H119+H131</f>
        <v>793960</v>
      </c>
      <c r="I46" s="322">
        <f>I47+I59+I71+I83+I95+I107+I119+I131</f>
        <v>1042600</v>
      </c>
      <c r="J46" s="181">
        <f>SUM(K46:O46)</f>
        <v>2275784.7990000001</v>
      </c>
      <c r="K46" s="322">
        <f>K47+K59+K71+K83+K95</f>
        <v>0</v>
      </c>
      <c r="L46" s="322">
        <f>L47+L59+L71+L83+L95+L107+L119+L131</f>
        <v>614588.28460000001</v>
      </c>
      <c r="M46" s="322">
        <f>M47+M59+M71+M83+M95+M107+M119+M131</f>
        <v>21904.703000000001</v>
      </c>
      <c r="N46" s="322">
        <f>N47+N59+N71+N83+N95+N107+N119+N131</f>
        <v>733063.86340000015</v>
      </c>
      <c r="O46" s="322">
        <f>O47+O59+O71+O83+O95+O107+O119+O131</f>
        <v>906227.94799999997</v>
      </c>
    </row>
    <row r="47" spans="1:15" s="3" customFormat="1" ht="13.5" thickTop="1" thickBot="1">
      <c r="A47" s="862"/>
      <c r="B47" s="270" t="s">
        <v>85</v>
      </c>
      <c r="C47" s="271" t="s">
        <v>86</v>
      </c>
      <c r="D47" s="206">
        <f t="shared" ref="D47:D147" si="10">SUM(E47:I47)</f>
        <v>1785280</v>
      </c>
      <c r="E47" s="338">
        <f>'1 квартал'!E47+'2 квартал'!E47+'3 квартал'!E47</f>
        <v>0</v>
      </c>
      <c r="F47" s="338">
        <f>'1 квартал'!F47+'2 квартал'!F47+'3 квартал'!F47</f>
        <v>10450</v>
      </c>
      <c r="G47" s="338">
        <f>'1 квартал'!G47+'2 квартал'!G47+'3 квартал'!G47</f>
        <v>8290</v>
      </c>
      <c r="H47" s="338">
        <f>'1 квартал'!H47+'2 квартал'!H47+'3 квартал'!H47</f>
        <v>729150</v>
      </c>
      <c r="I47" s="338">
        <f>'1 квартал'!I47+'2 квартал'!I47+'3 квартал'!I47</f>
        <v>1037390</v>
      </c>
      <c r="J47" s="206">
        <f t="shared" ref="J47:J147" si="11">SUM(K47:O47)</f>
        <v>1600271.757</v>
      </c>
      <c r="K47" s="184">
        <f>'1 квартал'!K47+'2 квартал'!K47+'3 квартал'!K47</f>
        <v>0</v>
      </c>
      <c r="L47" s="338">
        <f>'1 квартал'!L47+'2 квартал'!L47+'3 квартал'!L47</f>
        <v>18952.060599999997</v>
      </c>
      <c r="M47" s="338">
        <f>'1 квартал'!M47+'2 квартал'!M47+'3 квартал'!M47</f>
        <v>6761.4750000000004</v>
      </c>
      <c r="N47" s="338">
        <f>'1 квартал'!N47+'2 квартал'!N47+'3 квартал'!N47</f>
        <v>681881.09640000004</v>
      </c>
      <c r="O47" s="338">
        <f>'1 квартал'!O47+'2 квартал'!O47+'3 квартал'!O47</f>
        <v>892677.125</v>
      </c>
    </row>
    <row r="48" spans="1:15" ht="13.5" thickTop="1" thickBot="1">
      <c r="A48" s="862"/>
      <c r="B48" s="263" t="s">
        <v>87</v>
      </c>
      <c r="C48" s="263" t="s">
        <v>88</v>
      </c>
      <c r="D48" s="196">
        <f t="shared" si="10"/>
        <v>0</v>
      </c>
      <c r="E48" s="196"/>
      <c r="F48" s="196"/>
      <c r="G48" s="196"/>
      <c r="H48" s="196"/>
      <c r="I48" s="196"/>
      <c r="J48" s="196">
        <f t="shared" si="11"/>
        <v>0</v>
      </c>
      <c r="K48" s="196"/>
      <c r="L48" s="196"/>
      <c r="M48" s="196"/>
      <c r="N48" s="196"/>
      <c r="O48" s="196"/>
    </row>
    <row r="49" spans="1:15" ht="13.5" thickTop="1" thickBot="1">
      <c r="A49" s="862"/>
      <c r="B49" s="275"/>
      <c r="C49" s="276" t="s">
        <v>89</v>
      </c>
      <c r="D49" s="209">
        <f t="shared" si="10"/>
        <v>101600</v>
      </c>
      <c r="E49" s="210"/>
      <c r="F49" s="210"/>
      <c r="G49" s="240"/>
      <c r="H49" s="184">
        <f>'1 квартал'!H49+'2 квартал'!H49+'3 квартал'!H49</f>
        <v>101600</v>
      </c>
      <c r="I49" s="210"/>
      <c r="J49" s="209">
        <f t="shared" si="11"/>
        <v>112512.49440000001</v>
      </c>
      <c r="K49" s="210"/>
      <c r="L49" s="210"/>
      <c r="M49" s="240"/>
      <c r="N49" s="184">
        <f>'1 квартал'!N49+'2 квартал'!N49+'3 квартал'!N49</f>
        <v>112512.49440000001</v>
      </c>
      <c r="O49" s="210"/>
    </row>
    <row r="50" spans="1:15" ht="13.5" thickTop="1" thickBot="1">
      <c r="A50" s="862"/>
      <c r="B50" s="275"/>
      <c r="C50" s="276" t="s">
        <v>90</v>
      </c>
      <c r="D50" s="209">
        <f t="shared" si="10"/>
        <v>13800</v>
      </c>
      <c r="E50" s="210"/>
      <c r="F50" s="210"/>
      <c r="G50" s="210"/>
      <c r="H50" s="184">
        <f>'1 квартал'!H50+'2 квартал'!H50+'3 квартал'!H50</f>
        <v>13800</v>
      </c>
      <c r="I50" s="235"/>
      <c r="J50" s="209">
        <f t="shared" si="11"/>
        <v>4801.5209999999997</v>
      </c>
      <c r="K50" s="210"/>
      <c r="L50" s="210"/>
      <c r="M50" s="210"/>
      <c r="N50" s="184">
        <f>'1 квартал'!N50+'2 квартал'!N50+'3 квартал'!N50</f>
        <v>4801.5209999999997</v>
      </c>
      <c r="O50" s="235"/>
    </row>
    <row r="51" spans="1:15" ht="13.5" thickTop="1" thickBot="1">
      <c r="A51" s="862"/>
      <c r="B51" s="275"/>
      <c r="C51" s="276" t="s">
        <v>91</v>
      </c>
      <c r="D51" s="209">
        <f t="shared" si="10"/>
        <v>0</v>
      </c>
      <c r="E51" s="210"/>
      <c r="F51" s="210"/>
      <c r="G51" s="210"/>
      <c r="H51" s="210"/>
      <c r="I51" s="240"/>
      <c r="J51" s="209">
        <f t="shared" si="11"/>
        <v>0</v>
      </c>
      <c r="K51" s="210"/>
      <c r="L51" s="210"/>
      <c r="M51" s="210"/>
      <c r="N51" s="210"/>
      <c r="O51" s="240"/>
    </row>
    <row r="52" spans="1:15" ht="13.5" thickTop="1" thickBot="1">
      <c r="A52" s="862"/>
      <c r="B52" s="263" t="s">
        <v>92</v>
      </c>
      <c r="C52" s="263" t="s">
        <v>93</v>
      </c>
      <c r="D52" s="196">
        <f t="shared" si="10"/>
        <v>0</v>
      </c>
      <c r="E52" s="196"/>
      <c r="F52" s="184">
        <f>'1 квартал'!F52+'2 квартал'!F52+'3 квартал'!F52</f>
        <v>0</v>
      </c>
      <c r="G52" s="184">
        <f>'1 квартал'!G52+'2 квартал'!G52+'3 квартал'!G52</f>
        <v>0</v>
      </c>
      <c r="H52" s="184">
        <f>'1 квартал'!H52+'2 квартал'!H52+'3 квартал'!H52</f>
        <v>0</v>
      </c>
      <c r="I52" s="184">
        <f>'1 квартал'!I52+'2 квартал'!I52+'3 квартал'!I52</f>
        <v>0</v>
      </c>
      <c r="J52" s="196">
        <f t="shared" si="11"/>
        <v>0</v>
      </c>
      <c r="K52" s="196"/>
      <c r="L52" s="184">
        <f>'1 квартал'!L52+'2 квартал'!L52+'3 квартал'!L52</f>
        <v>0</v>
      </c>
      <c r="M52" s="184">
        <f>'1 квартал'!M52+'2 квартал'!M52+'3 квартал'!M52</f>
        <v>0</v>
      </c>
      <c r="N52" s="184">
        <f>'1 квартал'!N52+'2 квартал'!N52+'3 квартал'!N52</f>
        <v>0</v>
      </c>
      <c r="O52" s="184">
        <f>'1 квартал'!O52+'2 квартал'!O52+'3 квартал'!O52</f>
        <v>0</v>
      </c>
    </row>
    <row r="53" spans="1:15" ht="13.5" thickTop="1" thickBot="1">
      <c r="A53" s="862"/>
      <c r="B53" s="263" t="s">
        <v>94</v>
      </c>
      <c r="C53" s="263" t="s">
        <v>95</v>
      </c>
      <c r="D53" s="213">
        <f t="shared" si="10"/>
        <v>180953</v>
      </c>
      <c r="E53" s="240"/>
      <c r="F53" s="212"/>
      <c r="G53" s="184">
        <f>'1 квартал'!G53+'2 квартал'!G53+'3 квартал'!G53</f>
        <v>6819</v>
      </c>
      <c r="H53" s="184">
        <f>'1 квартал'!H53+'2 квартал'!H53+'3 квартал'!H53</f>
        <v>174134</v>
      </c>
      <c r="I53" s="196"/>
      <c r="J53" s="213">
        <f t="shared" si="11"/>
        <v>171718.81700000001</v>
      </c>
      <c r="K53" s="240"/>
      <c r="L53" s="212"/>
      <c r="M53" s="184">
        <f>'1 квартал'!M53+'2 квартал'!M53+'3 квартал'!M53</f>
        <v>6761.4750000000004</v>
      </c>
      <c r="N53" s="184">
        <f>'1 квартал'!N53+'2 квартал'!N53+'3 квартал'!N53</f>
        <v>164892.435</v>
      </c>
      <c r="O53" s="184">
        <f>'1 квартал'!O53+'2 квартал'!O53+'3 квартал'!O53</f>
        <v>64.906999999999996</v>
      </c>
    </row>
    <row r="54" spans="1:15" ht="13.5" thickTop="1" thickBot="1">
      <c r="A54" s="862"/>
      <c r="B54" s="275"/>
      <c r="C54" s="276" t="s">
        <v>89</v>
      </c>
      <c r="D54" s="209">
        <f t="shared" si="10"/>
        <v>9900</v>
      </c>
      <c r="E54" s="210"/>
      <c r="F54" s="210"/>
      <c r="G54" s="240"/>
      <c r="H54" s="184">
        <f>'1 квартал'!H54+'2 квартал'!H54+'3 квартал'!H54</f>
        <v>9900</v>
      </c>
      <c r="I54" s="210"/>
      <c r="J54" s="209">
        <f t="shared" si="11"/>
        <v>44644.845999999998</v>
      </c>
      <c r="K54" s="210"/>
      <c r="L54" s="210"/>
      <c r="M54" s="240"/>
      <c r="N54" s="184">
        <f>'1 квартал'!N54+'2 квартал'!N54+'3 квартал'!N54</f>
        <v>44644.845999999998</v>
      </c>
      <c r="O54" s="210"/>
    </row>
    <row r="55" spans="1:15" ht="13.5" thickTop="1" thickBot="1">
      <c r="A55" s="862"/>
      <c r="B55" s="275"/>
      <c r="C55" s="276" t="s">
        <v>90</v>
      </c>
      <c r="D55" s="209">
        <f t="shared" si="10"/>
        <v>0</v>
      </c>
      <c r="E55" s="210"/>
      <c r="F55" s="210"/>
      <c r="G55" s="210"/>
      <c r="H55" s="212"/>
      <c r="I55" s="212"/>
      <c r="J55" s="209">
        <f t="shared" si="11"/>
        <v>0</v>
      </c>
      <c r="K55" s="210"/>
      <c r="L55" s="210"/>
      <c r="M55" s="210"/>
      <c r="N55" s="235"/>
      <c r="O55" s="235"/>
    </row>
    <row r="56" spans="1:15" ht="13.5" thickTop="1" thickBot="1">
      <c r="A56" s="862"/>
      <c r="B56" s="275"/>
      <c r="C56" s="276" t="s">
        <v>91</v>
      </c>
      <c r="D56" s="209">
        <f t="shared" si="10"/>
        <v>0</v>
      </c>
      <c r="E56" s="210"/>
      <c r="F56" s="210"/>
      <c r="G56" s="210"/>
      <c r="H56" s="210"/>
      <c r="I56" s="212"/>
      <c r="J56" s="209">
        <f t="shared" si="11"/>
        <v>0</v>
      </c>
      <c r="K56" s="210"/>
      <c r="L56" s="210"/>
      <c r="M56" s="210"/>
      <c r="N56" s="210"/>
      <c r="O56" s="235"/>
    </row>
    <row r="57" spans="1:15" ht="13.5" thickTop="1" thickBot="1">
      <c r="A57" s="862"/>
      <c r="B57" s="263" t="s">
        <v>96</v>
      </c>
      <c r="C57" s="263" t="s">
        <v>97</v>
      </c>
      <c r="D57" s="196">
        <f t="shared" si="10"/>
        <v>4926</v>
      </c>
      <c r="E57" s="196"/>
      <c r="F57" s="196"/>
      <c r="G57" s="196"/>
      <c r="H57" s="184">
        <f>'1 квартал'!H57+'2 квартал'!H57+'3 квартал'!H57</f>
        <v>4926</v>
      </c>
      <c r="I57" s="196"/>
      <c r="J57" s="196">
        <f t="shared" si="11"/>
        <v>4242.7576250000002</v>
      </c>
      <c r="K57" s="196"/>
      <c r="L57" s="196"/>
      <c r="M57" s="196"/>
      <c r="N57" s="184">
        <f>'1 квартал'!N57+'2 квартал'!N57+'3 квартал'!N57</f>
        <v>4242.7576250000002</v>
      </c>
      <c r="O57" s="196"/>
    </row>
    <row r="58" spans="1:15" ht="13.5" thickTop="1" thickBot="1">
      <c r="A58" s="862"/>
      <c r="B58" s="263" t="s">
        <v>98</v>
      </c>
      <c r="C58" s="263" t="s">
        <v>99</v>
      </c>
      <c r="D58" s="196">
        <f t="shared" si="10"/>
        <v>0</v>
      </c>
      <c r="E58" s="196"/>
      <c r="F58" s="196"/>
      <c r="G58" s="196"/>
      <c r="H58" s="235"/>
      <c r="I58" s="196"/>
      <c r="J58" s="196">
        <f t="shared" si="11"/>
        <v>0</v>
      </c>
      <c r="K58" s="196"/>
      <c r="L58" s="196"/>
      <c r="M58" s="196"/>
      <c r="N58" s="235"/>
      <c r="O58" s="196"/>
    </row>
    <row r="59" spans="1:15" ht="13.5" thickTop="1" thickBot="1">
      <c r="A59" s="862"/>
      <c r="B59" s="204" t="s">
        <v>171</v>
      </c>
      <c r="C59" s="205" t="s">
        <v>190</v>
      </c>
      <c r="D59" s="206">
        <f t="shared" si="10"/>
        <v>23810</v>
      </c>
      <c r="E59" s="338">
        <f>'1 квартал'!E59+'2 квартал'!E59+'3 квартал'!E59</f>
        <v>0</v>
      </c>
      <c r="F59" s="338">
        <f>'1 квартал'!F59+'2 квартал'!F59+'3 квартал'!F59</f>
        <v>15460</v>
      </c>
      <c r="G59" s="214"/>
      <c r="H59" s="338">
        <f>'1 квартал'!H59+'2 квартал'!H59+'3 квартал'!H59</f>
        <v>3140</v>
      </c>
      <c r="I59" s="338">
        <f>'1 квартал'!I59+'2 квартал'!I59+'3 квартал'!I59</f>
        <v>5210</v>
      </c>
      <c r="J59" s="206">
        <f t="shared" si="11"/>
        <v>21310.689000000002</v>
      </c>
      <c r="K59" s="184">
        <f>'1 квартал'!K59+'2 квартал'!K59+'3 квартал'!K59</f>
        <v>0</v>
      </c>
      <c r="L59" s="184">
        <f>'1 квартал'!L59+'2 квартал'!L59+'3 квартал'!L59</f>
        <v>11342.113000000001</v>
      </c>
      <c r="M59" s="214">
        <v>0</v>
      </c>
      <c r="N59" s="338">
        <f>'1 квартал'!N59+'2 квартал'!N59+'3 квартал'!N59</f>
        <v>4291</v>
      </c>
      <c r="O59" s="338">
        <f>'1 квартал'!O59+'2 квартал'!O59+'3 квартал'!O59</f>
        <v>5677.5760000000009</v>
      </c>
    </row>
    <row r="60" spans="1:15" ht="13.5" thickTop="1" thickBot="1">
      <c r="A60" s="862"/>
      <c r="B60" s="182" t="s">
        <v>172</v>
      </c>
      <c r="C60" s="182" t="s">
        <v>88</v>
      </c>
      <c r="D60" s="196">
        <f t="shared" si="10"/>
        <v>0</v>
      </c>
      <c r="E60" s="196"/>
      <c r="F60" s="196"/>
      <c r="G60" s="196"/>
      <c r="H60" s="196"/>
      <c r="I60" s="196"/>
      <c r="J60" s="196">
        <f t="shared" si="11"/>
        <v>0</v>
      </c>
      <c r="K60" s="196"/>
      <c r="L60" s="196"/>
      <c r="M60" s="196">
        <f>SUM(M61:M63)</f>
        <v>0</v>
      </c>
      <c r="N60" s="196">
        <f>SUM(N61:N63)</f>
        <v>0</v>
      </c>
      <c r="O60" s="196">
        <f>SUM(O61:O63)</f>
        <v>0</v>
      </c>
    </row>
    <row r="61" spans="1:15" ht="13.5" thickTop="1" thickBot="1">
      <c r="A61" s="862"/>
      <c r="B61" s="207"/>
      <c r="C61" s="208" t="s">
        <v>89</v>
      </c>
      <c r="D61" s="209">
        <f t="shared" si="10"/>
        <v>0</v>
      </c>
      <c r="E61" s="210"/>
      <c r="F61" s="210"/>
      <c r="G61" s="209"/>
      <c r="H61" s="209"/>
      <c r="I61" s="210"/>
      <c r="J61" s="209">
        <f t="shared" si="11"/>
        <v>0</v>
      </c>
      <c r="K61" s="210"/>
      <c r="L61" s="210"/>
      <c r="M61" s="209"/>
      <c r="N61" s="209"/>
      <c r="O61" s="210"/>
    </row>
    <row r="62" spans="1:15" ht="13.5" thickTop="1" thickBot="1">
      <c r="A62" s="862"/>
      <c r="B62" s="207"/>
      <c r="C62" s="208" t="s">
        <v>90</v>
      </c>
      <c r="D62" s="209">
        <f t="shared" si="10"/>
        <v>0</v>
      </c>
      <c r="E62" s="210"/>
      <c r="F62" s="210"/>
      <c r="G62" s="210"/>
      <c r="H62" s="209"/>
      <c r="I62" s="209"/>
      <c r="J62" s="209">
        <f t="shared" si="11"/>
        <v>0</v>
      </c>
      <c r="K62" s="210"/>
      <c r="L62" s="210"/>
      <c r="M62" s="210"/>
      <c r="N62" s="209"/>
      <c r="O62" s="209"/>
    </row>
    <row r="63" spans="1:15" ht="13.5" thickTop="1" thickBot="1">
      <c r="A63" s="862"/>
      <c r="B63" s="207"/>
      <c r="C63" s="208" t="s">
        <v>91</v>
      </c>
      <c r="D63" s="209">
        <f t="shared" si="10"/>
        <v>0</v>
      </c>
      <c r="E63" s="210"/>
      <c r="F63" s="210"/>
      <c r="G63" s="210"/>
      <c r="H63" s="210"/>
      <c r="I63" s="209"/>
      <c r="J63" s="209">
        <f t="shared" si="11"/>
        <v>0</v>
      </c>
      <c r="K63" s="210"/>
      <c r="L63" s="210"/>
      <c r="M63" s="210"/>
      <c r="N63" s="210"/>
      <c r="O63" s="209"/>
    </row>
    <row r="64" spans="1:15" ht="13.5" thickTop="1" thickBot="1">
      <c r="A64" s="862"/>
      <c r="B64" s="182" t="s">
        <v>173</v>
      </c>
      <c r="C64" s="182" t="s">
        <v>93</v>
      </c>
      <c r="D64" s="196">
        <f t="shared" si="10"/>
        <v>0</v>
      </c>
      <c r="E64" s="184">
        <f>'1 квартал'!E64+'2 квартал'!E64+'3 квартал'!E64</f>
        <v>0</v>
      </c>
      <c r="F64" s="184">
        <f>'1 квартал'!F64+'2 квартал'!F64+'3 квартал'!F64</f>
        <v>0</v>
      </c>
      <c r="G64" s="211"/>
      <c r="H64" s="211"/>
      <c r="I64" s="196"/>
      <c r="J64" s="196">
        <f t="shared" si="11"/>
        <v>0</v>
      </c>
      <c r="K64" s="184">
        <f>'1 квартал'!K64+'2 квартал'!K64+'3 квартал'!K64</f>
        <v>0</v>
      </c>
      <c r="L64" s="184">
        <f>'1 квартал'!L64+'2 квартал'!L64+'3 квартал'!L64</f>
        <v>0</v>
      </c>
      <c r="M64" s="211"/>
      <c r="N64" s="211"/>
      <c r="O64" s="184">
        <f>'1 квартал'!O64+'2 квартал'!O64+'3 квартал'!O64</f>
        <v>0</v>
      </c>
    </row>
    <row r="65" spans="1:15" ht="13.5" thickTop="1" thickBot="1">
      <c r="A65" s="862"/>
      <c r="B65" s="182" t="s">
        <v>174</v>
      </c>
      <c r="C65" s="182" t="s">
        <v>95</v>
      </c>
      <c r="D65" s="213">
        <f t="shared" si="10"/>
        <v>0</v>
      </c>
      <c r="E65" s="184">
        <f>'1 квартал'!E65+'2 квартал'!E65+'3 квартал'!E65</f>
        <v>0</v>
      </c>
      <c r="F65" s="209"/>
      <c r="G65" s="209"/>
      <c r="H65" s="209"/>
      <c r="I65" s="196"/>
      <c r="J65" s="213">
        <f t="shared" si="11"/>
        <v>0</v>
      </c>
      <c r="K65" s="184">
        <f>'1 квартал'!K65+'2 квартал'!K65+'3 квартал'!K65</f>
        <v>0</v>
      </c>
      <c r="L65" s="209"/>
      <c r="M65" s="209"/>
      <c r="N65" s="209"/>
      <c r="O65" s="196"/>
    </row>
    <row r="66" spans="1:15" ht="13.5" thickTop="1" thickBot="1">
      <c r="A66" s="862"/>
      <c r="B66" s="207"/>
      <c r="C66" s="208" t="s">
        <v>89</v>
      </c>
      <c r="D66" s="209">
        <f t="shared" si="10"/>
        <v>0</v>
      </c>
      <c r="E66" s="210"/>
      <c r="F66" s="210"/>
      <c r="G66" s="209"/>
      <c r="H66" s="209"/>
      <c r="I66" s="210"/>
      <c r="J66" s="209">
        <f t="shared" si="11"/>
        <v>0</v>
      </c>
      <c r="K66" s="210"/>
      <c r="L66" s="210"/>
      <c r="M66" s="209"/>
      <c r="N66" s="209"/>
      <c r="O66" s="210"/>
    </row>
    <row r="67" spans="1:15" ht="13.5" thickTop="1" thickBot="1">
      <c r="A67" s="862"/>
      <c r="B67" s="207"/>
      <c r="C67" s="208" t="s">
        <v>90</v>
      </c>
      <c r="D67" s="209">
        <f t="shared" si="10"/>
        <v>0</v>
      </c>
      <c r="E67" s="210"/>
      <c r="F67" s="210"/>
      <c r="G67" s="210"/>
      <c r="H67" s="209"/>
      <c r="I67" s="209"/>
      <c r="J67" s="209">
        <f t="shared" si="11"/>
        <v>0</v>
      </c>
      <c r="K67" s="210"/>
      <c r="L67" s="210"/>
      <c r="M67" s="210"/>
      <c r="N67" s="209"/>
      <c r="O67" s="209"/>
    </row>
    <row r="68" spans="1:15" ht="13.5" thickTop="1" thickBot="1">
      <c r="A68" s="862"/>
      <c r="B68" s="207"/>
      <c r="C68" s="208" t="s">
        <v>91</v>
      </c>
      <c r="D68" s="209">
        <f t="shared" si="10"/>
        <v>0</v>
      </c>
      <c r="E68" s="210"/>
      <c r="F68" s="210"/>
      <c r="G68" s="210"/>
      <c r="H68" s="210"/>
      <c r="I68" s="209"/>
      <c r="J68" s="209">
        <f t="shared" si="11"/>
        <v>0</v>
      </c>
      <c r="K68" s="210"/>
      <c r="L68" s="210"/>
      <c r="M68" s="210"/>
      <c r="N68" s="210"/>
      <c r="O68" s="209"/>
    </row>
    <row r="69" spans="1:15" ht="13.5" thickTop="1" thickBot="1">
      <c r="A69" s="862"/>
      <c r="B69" s="182" t="s">
        <v>176</v>
      </c>
      <c r="C69" s="182" t="s">
        <v>97</v>
      </c>
      <c r="D69" s="196">
        <f t="shared" si="10"/>
        <v>0</v>
      </c>
      <c r="E69" s="196"/>
      <c r="F69" s="196"/>
      <c r="G69" s="196"/>
      <c r="H69" s="185"/>
      <c r="I69" s="196"/>
      <c r="J69" s="196">
        <f t="shared" si="11"/>
        <v>0</v>
      </c>
      <c r="K69" s="196"/>
      <c r="L69" s="196"/>
      <c r="M69" s="196"/>
      <c r="N69" s="185"/>
      <c r="O69" s="196"/>
    </row>
    <row r="70" spans="1:15" ht="13.5" thickTop="1" thickBot="1">
      <c r="A70" s="862"/>
      <c r="B70" s="182" t="s">
        <v>175</v>
      </c>
      <c r="C70" s="182" t="s">
        <v>99</v>
      </c>
      <c r="D70" s="196">
        <f t="shared" si="10"/>
        <v>0</v>
      </c>
      <c r="E70" s="196"/>
      <c r="F70" s="196"/>
      <c r="G70" s="196"/>
      <c r="H70" s="185"/>
      <c r="I70" s="196"/>
      <c r="J70" s="196">
        <f t="shared" si="11"/>
        <v>0</v>
      </c>
      <c r="K70" s="196"/>
      <c r="L70" s="196"/>
      <c r="M70" s="196"/>
      <c r="N70" s="185"/>
      <c r="O70" s="196"/>
    </row>
    <row r="71" spans="1:15" ht="13.5" thickTop="1" thickBot="1">
      <c r="A71" s="862"/>
      <c r="B71" s="204" t="s">
        <v>177</v>
      </c>
      <c r="C71" s="205" t="s">
        <v>203</v>
      </c>
      <c r="D71" s="206">
        <f t="shared" si="10"/>
        <v>38380</v>
      </c>
      <c r="E71" s="284"/>
      <c r="F71" s="284"/>
      <c r="G71" s="338">
        <f>'1 квартал'!G71+'2 квартал'!G71+'3 квартал'!G71</f>
        <v>20970</v>
      </c>
      <c r="H71" s="338">
        <f>'1 квартал'!H71+'2 квартал'!H71+'3 квартал'!H71</f>
        <v>17410</v>
      </c>
      <c r="I71" s="214"/>
      <c r="J71" s="206">
        <f t="shared" si="11"/>
        <v>36986.400000000001</v>
      </c>
      <c r="K71" s="339"/>
      <c r="L71" s="339"/>
      <c r="M71" s="184">
        <f>'1 квартал'!M71+'2 квартал'!M71+'3 квартал'!M71</f>
        <v>15143.228000000001</v>
      </c>
      <c r="N71" s="184">
        <f>'1 квартал'!N71+'2 квартал'!N71+'3 квартал'!N71</f>
        <v>14036.705999999998</v>
      </c>
      <c r="O71" s="184">
        <f>'1 квартал'!O71+'2 квартал'!O71+'3 квартал'!O71</f>
        <v>7806.4660000000003</v>
      </c>
    </row>
    <row r="72" spans="1:15" ht="13.5" thickTop="1" thickBot="1">
      <c r="A72" s="862"/>
      <c r="B72" s="182" t="s">
        <v>178</v>
      </c>
      <c r="C72" s="182" t="s">
        <v>88</v>
      </c>
      <c r="D72" s="196">
        <f t="shared" si="10"/>
        <v>0</v>
      </c>
      <c r="E72" s="196"/>
      <c r="F72" s="196"/>
      <c r="G72" s="196"/>
      <c r="H72" s="196"/>
      <c r="I72" s="196"/>
      <c r="J72" s="196">
        <f t="shared" si="11"/>
        <v>0</v>
      </c>
      <c r="K72" s="196"/>
      <c r="L72" s="196"/>
      <c r="M72" s="196"/>
      <c r="N72" s="196"/>
      <c r="O72" s="196"/>
    </row>
    <row r="73" spans="1:15" ht="13.5" thickTop="1" thickBot="1">
      <c r="A73" s="862"/>
      <c r="B73" s="207"/>
      <c r="C73" s="208" t="s">
        <v>89</v>
      </c>
      <c r="D73" s="209">
        <f t="shared" si="10"/>
        <v>14652</v>
      </c>
      <c r="E73" s="210"/>
      <c r="F73" s="210"/>
      <c r="G73" s="184">
        <f>'1 квартал'!G73+'2 квартал'!G73+'3 квартал'!G73</f>
        <v>4441</v>
      </c>
      <c r="H73" s="184">
        <f>'1 квартал'!H73+'2 квартал'!H73+'3 квартал'!H73</f>
        <v>10211</v>
      </c>
      <c r="I73" s="210"/>
      <c r="J73" s="734">
        <f t="shared" si="11"/>
        <v>-24188.641</v>
      </c>
      <c r="K73" s="739"/>
      <c r="L73" s="739"/>
      <c r="M73" s="740">
        <f>'1 квартал'!M73+'2 квартал'!M73+'3 квартал'!M73</f>
        <v>888.45400000000109</v>
      </c>
      <c r="N73" s="740">
        <f>'1 квартал'!N73+'2 квартал'!N73+'3 квартал'!N73</f>
        <v>-25077.095000000001</v>
      </c>
      <c r="O73" s="210"/>
    </row>
    <row r="74" spans="1:15" ht="13.5" thickTop="1" thickBot="1">
      <c r="A74" s="862"/>
      <c r="B74" s="207"/>
      <c r="C74" s="208" t="s">
        <v>90</v>
      </c>
      <c r="D74" s="209">
        <f t="shared" si="10"/>
        <v>0</v>
      </c>
      <c r="E74" s="210"/>
      <c r="F74" s="210"/>
      <c r="G74" s="210"/>
      <c r="H74" s="209"/>
      <c r="I74" s="209"/>
      <c r="J74" s="209">
        <f t="shared" si="11"/>
        <v>0</v>
      </c>
      <c r="K74" s="210"/>
      <c r="L74" s="210"/>
      <c r="M74" s="210"/>
      <c r="N74" s="209"/>
      <c r="O74" s="209"/>
    </row>
    <row r="75" spans="1:15" ht="13.5" thickTop="1" thickBot="1">
      <c r="A75" s="862"/>
      <c r="B75" s="207"/>
      <c r="C75" s="208" t="s">
        <v>91</v>
      </c>
      <c r="D75" s="209">
        <f t="shared" si="10"/>
        <v>0</v>
      </c>
      <c r="E75" s="210"/>
      <c r="F75" s="210"/>
      <c r="G75" s="210"/>
      <c r="H75" s="210"/>
      <c r="I75" s="209"/>
      <c r="J75" s="209">
        <f t="shared" si="11"/>
        <v>0</v>
      </c>
      <c r="K75" s="210"/>
      <c r="L75" s="210"/>
      <c r="M75" s="210"/>
      <c r="N75" s="210"/>
      <c r="O75" s="209"/>
    </row>
    <row r="76" spans="1:15" ht="13.5" thickTop="1" thickBot="1">
      <c r="A76" s="862"/>
      <c r="B76" s="182" t="s">
        <v>179</v>
      </c>
      <c r="C76" s="182" t="s">
        <v>93</v>
      </c>
      <c r="D76" s="196">
        <f t="shared" si="10"/>
        <v>0</v>
      </c>
      <c r="E76" s="196"/>
      <c r="F76" s="196"/>
      <c r="G76" s="211"/>
      <c r="H76" s="211"/>
      <c r="I76" s="196"/>
      <c r="J76" s="196">
        <f t="shared" si="11"/>
        <v>0</v>
      </c>
      <c r="K76" s="196"/>
      <c r="L76" s="196"/>
      <c r="M76" s="211"/>
      <c r="N76" s="211"/>
      <c r="O76" s="196"/>
    </row>
    <row r="77" spans="1:15" ht="13.5" thickTop="1" thickBot="1">
      <c r="A77" s="862"/>
      <c r="B77" s="182" t="s">
        <v>180</v>
      </c>
      <c r="C77" s="182" t="s">
        <v>95</v>
      </c>
      <c r="D77" s="213">
        <f t="shared" si="10"/>
        <v>0</v>
      </c>
      <c r="E77" s="215"/>
      <c r="F77" s="209"/>
      <c r="G77" s="184"/>
      <c r="H77" s="184"/>
      <c r="I77" s="196"/>
      <c r="J77" s="213"/>
      <c r="K77" s="319"/>
      <c r="L77" s="320"/>
      <c r="M77" s="184"/>
      <c r="N77" s="184"/>
      <c r="O77" s="196"/>
    </row>
    <row r="78" spans="1:15" ht="13.5" thickTop="1" thickBot="1">
      <c r="A78" s="862"/>
      <c r="B78" s="207"/>
      <c r="C78" s="208" t="s">
        <v>89</v>
      </c>
      <c r="D78" s="209">
        <f t="shared" si="10"/>
        <v>23728</v>
      </c>
      <c r="E78" s="210"/>
      <c r="F78" s="210"/>
      <c r="G78" s="184">
        <f>'1 квартал'!G78+'2 квартал'!G78+'3 квартал'!G78</f>
        <v>16529</v>
      </c>
      <c r="H78" s="184">
        <f>'1 квартал'!H78+'2 квартал'!H78+'3 квартал'!H78</f>
        <v>7199</v>
      </c>
      <c r="I78" s="210"/>
      <c r="J78" s="209">
        <f t="shared" si="11"/>
        <v>25064.862000000001</v>
      </c>
      <c r="K78" s="210"/>
      <c r="L78" s="210"/>
      <c r="M78" s="184">
        <f>'1 квартал'!M78+'2 квартал'!M78+'3 квартал'!M78</f>
        <v>14254.773999999999</v>
      </c>
      <c r="N78" s="184">
        <f>'1 квартал'!N78+'2 квартал'!N78+'3 квартал'!N78</f>
        <v>10810.088</v>
      </c>
      <c r="O78" s="210"/>
    </row>
    <row r="79" spans="1:15" ht="13.5" thickTop="1" thickBot="1">
      <c r="A79" s="862"/>
      <c r="B79" s="207"/>
      <c r="C79" s="208" t="s">
        <v>90</v>
      </c>
      <c r="D79" s="209">
        <f t="shared" si="10"/>
        <v>0</v>
      </c>
      <c r="E79" s="210"/>
      <c r="F79" s="210"/>
      <c r="G79" s="210"/>
      <c r="H79" s="209"/>
      <c r="I79" s="209"/>
      <c r="J79" s="209">
        <f t="shared" si="11"/>
        <v>0</v>
      </c>
      <c r="K79" s="210"/>
      <c r="L79" s="210"/>
      <c r="M79" s="210"/>
      <c r="N79" s="209"/>
      <c r="O79" s="209"/>
    </row>
    <row r="80" spans="1:15" ht="13.5" thickTop="1" thickBot="1">
      <c r="A80" s="862"/>
      <c r="B80" s="207"/>
      <c r="C80" s="208" t="s">
        <v>91</v>
      </c>
      <c r="D80" s="209">
        <f t="shared" si="10"/>
        <v>0</v>
      </c>
      <c r="E80" s="210"/>
      <c r="F80" s="210"/>
      <c r="G80" s="210"/>
      <c r="H80" s="210"/>
      <c r="I80" s="209"/>
      <c r="J80" s="209">
        <f t="shared" si="11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196">
        <f t="shared" si="10"/>
        <v>0</v>
      </c>
      <c r="E81" s="196"/>
      <c r="F81" s="196"/>
      <c r="G81" s="196"/>
      <c r="H81" s="185"/>
      <c r="I81" s="196"/>
      <c r="J81" s="196">
        <f t="shared" si="11"/>
        <v>0</v>
      </c>
      <c r="K81" s="196"/>
      <c r="L81" s="196"/>
      <c r="M81" s="196"/>
      <c r="N81" s="236"/>
      <c r="O81" s="196"/>
    </row>
    <row r="82" spans="1:15" ht="13.5" thickTop="1" thickBot="1">
      <c r="A82" s="862"/>
      <c r="B82" s="182" t="s">
        <v>182</v>
      </c>
      <c r="C82" s="182" t="s">
        <v>99</v>
      </c>
      <c r="D82" s="196">
        <f t="shared" si="10"/>
        <v>0</v>
      </c>
      <c r="E82" s="196"/>
      <c r="F82" s="196"/>
      <c r="G82" s="196"/>
      <c r="H82" s="185"/>
      <c r="I82" s="196"/>
      <c r="J82" s="196">
        <f t="shared" si="11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196"/>
      <c r="E83" s="196"/>
      <c r="F83" s="338">
        <f>'1 квартал'!F83+'2 квартал'!F83+'3 квартал'!F83</f>
        <v>622660</v>
      </c>
      <c r="G83" s="196"/>
      <c r="H83" s="185"/>
      <c r="I83" s="196"/>
      <c r="J83" s="196"/>
      <c r="K83" s="196"/>
      <c r="L83" s="184">
        <f>'1 квартал'!L83+'2 квартал'!L83+'3 квартал'!L83</f>
        <v>584294.11100000003</v>
      </c>
      <c r="M83" s="196"/>
      <c r="N83" s="185"/>
      <c r="O83" s="196"/>
    </row>
    <row r="84" spans="1:15" ht="13.5" thickTop="1" thickBot="1">
      <c r="A84" s="862"/>
      <c r="B84" s="182" t="s">
        <v>184</v>
      </c>
      <c r="C84" s="182" t="s">
        <v>88</v>
      </c>
      <c r="D84" s="196">
        <f t="shared" si="10"/>
        <v>0</v>
      </c>
      <c r="E84" s="196"/>
      <c r="F84" s="196"/>
      <c r="G84" s="196"/>
      <c r="H84" s="196"/>
      <c r="I84" s="196"/>
      <c r="J84" s="196">
        <f t="shared" si="11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209">
        <f t="shared" si="10"/>
        <v>0</v>
      </c>
      <c r="E85" s="210"/>
      <c r="F85" s="210"/>
      <c r="G85" s="209"/>
      <c r="H85" s="209"/>
      <c r="I85" s="210"/>
      <c r="J85" s="209">
        <f t="shared" si="11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209">
        <f t="shared" si="10"/>
        <v>0</v>
      </c>
      <c r="E86" s="210"/>
      <c r="F86" s="210"/>
      <c r="G86" s="210"/>
      <c r="H86" s="209"/>
      <c r="I86" s="209"/>
      <c r="J86" s="209">
        <f t="shared" si="11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209">
        <f t="shared" si="10"/>
        <v>0</v>
      </c>
      <c r="E87" s="210"/>
      <c r="F87" s="210"/>
      <c r="G87" s="210"/>
      <c r="H87" s="210"/>
      <c r="I87" s="209"/>
      <c r="J87" s="209">
        <f t="shared" si="11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196">
        <f t="shared" si="10"/>
        <v>0</v>
      </c>
      <c r="E88" s="196"/>
      <c r="F88" s="196"/>
      <c r="G88" s="211"/>
      <c r="H88" s="211"/>
      <c r="I88" s="196"/>
      <c r="J88" s="196">
        <f t="shared" si="11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213">
        <f t="shared" si="10"/>
        <v>260522</v>
      </c>
      <c r="E89" s="215"/>
      <c r="F89" s="184">
        <f>'1 квартал'!F89+'2 квартал'!F89+'3 квартал'!F89</f>
        <v>260522</v>
      </c>
      <c r="G89" s="209"/>
      <c r="H89" s="209"/>
      <c r="I89" s="196"/>
      <c r="J89" s="213">
        <f t="shared" si="11"/>
        <v>229331.30000000002</v>
      </c>
      <c r="K89" s="319"/>
      <c r="L89" s="184">
        <f>'1 квартал'!L89+'2 квартал'!L89+'3 квартал'!L89</f>
        <v>229331.30000000002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209">
        <f t="shared" si="10"/>
        <v>0</v>
      </c>
      <c r="E90" s="210"/>
      <c r="F90" s="210"/>
      <c r="G90" s="209"/>
      <c r="H90" s="209"/>
      <c r="I90" s="210"/>
      <c r="J90" s="209">
        <f t="shared" si="11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209">
        <f t="shared" si="10"/>
        <v>0</v>
      </c>
      <c r="E91" s="210"/>
      <c r="F91" s="210"/>
      <c r="G91" s="210"/>
      <c r="H91" s="209"/>
      <c r="I91" s="209"/>
      <c r="J91" s="209">
        <f t="shared" si="11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209">
        <f t="shared" si="10"/>
        <v>0</v>
      </c>
      <c r="E92" s="210"/>
      <c r="F92" s="210"/>
      <c r="G92" s="210"/>
      <c r="H92" s="210"/>
      <c r="I92" s="209"/>
      <c r="J92" s="209">
        <f t="shared" si="11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196">
        <f t="shared" si="10"/>
        <v>0</v>
      </c>
      <c r="E93" s="196"/>
      <c r="F93" s="196"/>
      <c r="G93" s="196"/>
      <c r="H93" s="185"/>
      <c r="I93" s="196"/>
      <c r="J93" s="196">
        <f t="shared" si="11"/>
        <v>0</v>
      </c>
      <c r="K93" s="196"/>
      <c r="L93" s="196"/>
      <c r="M93" s="196"/>
      <c r="N93" s="236"/>
      <c r="O93" s="196"/>
    </row>
    <row r="94" spans="1:15" ht="13.5" thickTop="1" thickBot="1">
      <c r="A94" s="862"/>
      <c r="B94" s="182" t="s">
        <v>188</v>
      </c>
      <c r="C94" s="182" t="s">
        <v>99</v>
      </c>
      <c r="D94" s="196">
        <f t="shared" si="10"/>
        <v>0</v>
      </c>
      <c r="E94" s="196"/>
      <c r="F94" s="196"/>
      <c r="G94" s="196"/>
      <c r="H94" s="185"/>
      <c r="I94" s="196"/>
      <c r="J94" s="196">
        <f t="shared" si="11"/>
        <v>0</v>
      </c>
      <c r="K94" s="196"/>
      <c r="L94" s="196"/>
      <c r="M94" s="196"/>
      <c r="N94" s="185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>
        <f t="shared" ref="D95:D106" si="12">SUM(E95:I95)</f>
        <v>44260</v>
      </c>
      <c r="E95" s="284"/>
      <c r="F95" s="325"/>
      <c r="G95" s="284"/>
      <c r="H95" s="338">
        <f>'1 квартал'!H95+'2 квартал'!H95+'3 квартал'!H95</f>
        <v>44260</v>
      </c>
      <c r="I95" s="284"/>
      <c r="J95" s="206">
        <f t="shared" ref="J95:J106" si="13">SUM(K95:O95)</f>
        <v>26057.832000000002</v>
      </c>
      <c r="K95" s="284"/>
      <c r="L95" s="325"/>
      <c r="M95" s="214"/>
      <c r="N95" s="338">
        <f>'1 квартал'!N95+'2 квартал'!N95+'3 квартал'!N95</f>
        <v>26057.832000000002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2"/>
        <v>0</v>
      </c>
      <c r="E96" s="324"/>
      <c r="F96" s="324"/>
      <c r="G96" s="324"/>
      <c r="H96" s="693"/>
      <c r="I96" s="324"/>
      <c r="J96" s="196">
        <f t="shared" si="13"/>
        <v>0</v>
      </c>
      <c r="K96" s="196"/>
      <c r="L96" s="196"/>
      <c r="M96" s="196"/>
      <c r="N96" s="693"/>
      <c r="O96" s="196"/>
    </row>
    <row r="97" spans="1:15" ht="13.5" thickTop="1" thickBot="1">
      <c r="A97" s="862"/>
      <c r="B97" s="207"/>
      <c r="C97" s="208" t="s">
        <v>89</v>
      </c>
      <c r="D97" s="326">
        <f t="shared" si="12"/>
        <v>13660</v>
      </c>
      <c r="E97" s="327"/>
      <c r="F97" s="327"/>
      <c r="G97" s="326"/>
      <c r="H97" s="338">
        <f>'1 квартал'!H97+'2 квартал'!H97+'3 квартал'!H97</f>
        <v>13660</v>
      </c>
      <c r="I97" s="327"/>
      <c r="J97" s="209">
        <f t="shared" si="13"/>
        <v>5809.8860000000004</v>
      </c>
      <c r="K97" s="210"/>
      <c r="L97" s="210"/>
      <c r="M97" s="209"/>
      <c r="N97" s="338">
        <f>'1 квартал'!N97+'2 квартал'!N97+'3 квартал'!N97</f>
        <v>5809.8860000000004</v>
      </c>
      <c r="O97" s="210"/>
    </row>
    <row r="98" spans="1:15" ht="13.5" thickTop="1" thickBot="1">
      <c r="A98" s="862"/>
      <c r="B98" s="207"/>
      <c r="C98" s="208" t="s">
        <v>90</v>
      </c>
      <c r="D98" s="326">
        <f t="shared" si="12"/>
        <v>18860</v>
      </c>
      <c r="E98" s="327"/>
      <c r="F98" s="327"/>
      <c r="G98" s="327"/>
      <c r="H98" s="338">
        <f>'1 квартал'!H98+'2 квартал'!H98+'3 квартал'!H98</f>
        <v>18860</v>
      </c>
      <c r="I98" s="326"/>
      <c r="J98" s="209">
        <f t="shared" si="13"/>
        <v>7934.6029999999992</v>
      </c>
      <c r="K98" s="210"/>
      <c r="L98" s="210"/>
      <c r="M98" s="210"/>
      <c r="N98" s="338">
        <f>'1 квартал'!N98+'2 квартал'!N98+'3 квартал'!N98</f>
        <v>7934.6029999999992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2"/>
        <v>0</v>
      </c>
      <c r="E99" s="327"/>
      <c r="F99" s="327"/>
      <c r="G99" s="327"/>
      <c r="H99" s="327"/>
      <c r="I99" s="326"/>
      <c r="J99" s="209">
        <f t="shared" si="13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2"/>
        <v>0</v>
      </c>
      <c r="E100" s="324"/>
      <c r="F100" s="324"/>
      <c r="G100" s="328"/>
      <c r="H100" s="184"/>
      <c r="I100" s="324"/>
      <c r="J100" s="196">
        <f t="shared" si="13"/>
        <v>0</v>
      </c>
      <c r="K100" s="196"/>
      <c r="L100" s="196"/>
      <c r="M100" s="211"/>
      <c r="N100" s="184"/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2"/>
        <v>0</v>
      </c>
      <c r="E101" s="380"/>
      <c r="F101" s="331"/>
      <c r="G101" s="326"/>
      <c r="H101" s="326"/>
      <c r="I101" s="324"/>
      <c r="J101" s="213">
        <f t="shared" si="13"/>
        <v>0</v>
      </c>
      <c r="K101" s="383"/>
      <c r="L101" s="320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2"/>
        <v>0</v>
      </c>
      <c r="E102" s="327"/>
      <c r="F102" s="327"/>
      <c r="G102" s="326"/>
      <c r="H102" s="326"/>
      <c r="I102" s="327"/>
      <c r="J102" s="209">
        <f t="shared" si="13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2"/>
        <v>0</v>
      </c>
      <c r="E103" s="327"/>
      <c r="F103" s="327"/>
      <c r="G103" s="327"/>
      <c r="H103" s="326"/>
      <c r="I103" s="326"/>
      <c r="J103" s="209">
        <f t="shared" si="13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2"/>
        <v>0</v>
      </c>
      <c r="E104" s="327"/>
      <c r="F104" s="327"/>
      <c r="G104" s="327"/>
      <c r="H104" s="327"/>
      <c r="I104" s="326"/>
      <c r="J104" s="209">
        <f t="shared" si="13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2"/>
        <v>0</v>
      </c>
      <c r="E105" s="324"/>
      <c r="F105" s="324"/>
      <c r="G105" s="324"/>
      <c r="H105" s="323"/>
      <c r="I105" s="324"/>
      <c r="J105" s="196">
        <f t="shared" si="13"/>
        <v>0</v>
      </c>
      <c r="K105" s="196"/>
      <c r="L105" s="196"/>
      <c r="M105" s="196"/>
      <c r="N105" s="185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2"/>
        <v>0</v>
      </c>
      <c r="E106" s="324"/>
      <c r="F106" s="324"/>
      <c r="G106" s="324"/>
      <c r="H106" s="323"/>
      <c r="I106" s="324"/>
      <c r="J106" s="196">
        <f t="shared" si="13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>
        <f t="shared" ref="D107:D118" si="14">SUM(E107:I107)</f>
        <v>0</v>
      </c>
      <c r="E107" s="284"/>
      <c r="F107" s="325"/>
      <c r="G107" s="284"/>
      <c r="H107" s="184">
        <f>'1 квартал'!H107+'2 квартал'!H107+'3 квартал'!H107</f>
        <v>0</v>
      </c>
      <c r="I107" s="284"/>
      <c r="J107" s="206">
        <f t="shared" ref="J107:J118" si="15">SUM(K107:O107)</f>
        <v>4458.576</v>
      </c>
      <c r="K107" s="284"/>
      <c r="L107" s="325"/>
      <c r="M107" s="214"/>
      <c r="N107" s="184">
        <f>'1 квартал'!N107+'2 квартал'!N107+'3 квартал'!N107</f>
        <v>4458.576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4"/>
        <v>0</v>
      </c>
      <c r="E108" s="324"/>
      <c r="F108" s="324"/>
      <c r="G108" s="324"/>
      <c r="H108" s="324"/>
      <c r="I108" s="324"/>
      <c r="J108" s="196">
        <f t="shared" si="15"/>
        <v>0</v>
      </c>
      <c r="K108" s="196"/>
      <c r="L108" s="196"/>
      <c r="M108" s="196"/>
      <c r="N108" s="196"/>
      <c r="O108" s="196"/>
    </row>
    <row r="109" spans="1:15" ht="13.5" thickTop="1" thickBot="1">
      <c r="A109" s="862"/>
      <c r="B109" s="207"/>
      <c r="C109" s="208" t="s">
        <v>89</v>
      </c>
      <c r="D109" s="326">
        <f t="shared" si="14"/>
        <v>0</v>
      </c>
      <c r="E109" s="327"/>
      <c r="F109" s="327"/>
      <c r="G109" s="326"/>
      <c r="H109" s="184">
        <f>'1 квартал'!H109+'2 квартал'!H109+'3 квартал'!H109</f>
        <v>0</v>
      </c>
      <c r="I109" s="327"/>
      <c r="J109" s="209">
        <f t="shared" si="15"/>
        <v>4458.576</v>
      </c>
      <c r="K109" s="210"/>
      <c r="L109" s="210"/>
      <c r="M109" s="209"/>
      <c r="N109" s="184">
        <f>'1 квартал'!N109+'2 квартал'!N109+'3 квартал'!N109</f>
        <v>4458.576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4"/>
        <v>0</v>
      </c>
      <c r="E110" s="327"/>
      <c r="F110" s="327"/>
      <c r="G110" s="327"/>
      <c r="H110" s="339"/>
      <c r="I110" s="326"/>
      <c r="J110" s="209">
        <f t="shared" si="15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4"/>
        <v>0</v>
      </c>
      <c r="E111" s="327"/>
      <c r="F111" s="327"/>
      <c r="G111" s="327"/>
      <c r="H111" s="327"/>
      <c r="I111" s="326"/>
      <c r="J111" s="209">
        <f t="shared" si="15"/>
        <v>0</v>
      </c>
      <c r="K111" s="210"/>
      <c r="L111" s="210"/>
      <c r="M111" s="210"/>
      <c r="N111" s="210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4"/>
        <v>0</v>
      </c>
      <c r="E112" s="324"/>
      <c r="F112" s="324"/>
      <c r="G112" s="328"/>
      <c r="H112" s="328"/>
      <c r="I112" s="324"/>
      <c r="J112" s="196">
        <f t="shared" si="15"/>
        <v>0</v>
      </c>
      <c r="K112" s="196"/>
      <c r="L112" s="196"/>
      <c r="M112" s="211"/>
      <c r="N112" s="211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4"/>
        <v>0</v>
      </c>
      <c r="E113" s="380"/>
      <c r="F113" s="331"/>
      <c r="G113" s="326"/>
      <c r="H113" s="326"/>
      <c r="I113" s="324"/>
      <c r="J113" s="213">
        <f t="shared" si="15"/>
        <v>0</v>
      </c>
      <c r="K113" s="383"/>
      <c r="L113" s="320"/>
      <c r="M113" s="209"/>
      <c r="N113" s="209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4"/>
        <v>0</v>
      </c>
      <c r="E114" s="327"/>
      <c r="F114" s="327"/>
      <c r="G114" s="326"/>
      <c r="H114" s="326"/>
      <c r="I114" s="327"/>
      <c r="J114" s="209">
        <f t="shared" si="15"/>
        <v>0</v>
      </c>
      <c r="K114" s="210"/>
      <c r="L114" s="210"/>
      <c r="M114" s="209"/>
      <c r="N114" s="209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4"/>
        <v>0</v>
      </c>
      <c r="E115" s="327"/>
      <c r="F115" s="327"/>
      <c r="G115" s="327"/>
      <c r="H115" s="326"/>
      <c r="I115" s="326"/>
      <c r="J115" s="209">
        <f t="shared" si="15"/>
        <v>0</v>
      </c>
      <c r="K115" s="210"/>
      <c r="L115" s="210"/>
      <c r="M115" s="210"/>
      <c r="N115" s="209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4"/>
        <v>0</v>
      </c>
      <c r="E116" s="327"/>
      <c r="F116" s="327"/>
      <c r="G116" s="327"/>
      <c r="H116" s="327"/>
      <c r="I116" s="326"/>
      <c r="J116" s="209">
        <f t="shared" si="15"/>
        <v>0</v>
      </c>
      <c r="K116" s="210"/>
      <c r="L116" s="210"/>
      <c r="M116" s="210"/>
      <c r="N116" s="210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4"/>
        <v>0</v>
      </c>
      <c r="E117" s="324"/>
      <c r="F117" s="324"/>
      <c r="G117" s="324"/>
      <c r="H117" s="324"/>
      <c r="I117" s="324"/>
      <c r="J117" s="196">
        <f t="shared" si="15"/>
        <v>0</v>
      </c>
      <c r="K117" s="196"/>
      <c r="L117" s="196"/>
      <c r="M117" s="196"/>
      <c r="N117" s="185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4"/>
        <v>0</v>
      </c>
      <c r="E118" s="324"/>
      <c r="F118" s="324"/>
      <c r="G118" s="324"/>
      <c r="H118" s="323"/>
      <c r="I118" s="324"/>
      <c r="J118" s="196">
        <f t="shared" si="15"/>
        <v>0</v>
      </c>
      <c r="K118" s="196"/>
      <c r="L118" s="196"/>
      <c r="M118" s="196"/>
      <c r="N118" s="196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>
        <f t="shared" ref="D119:D130" si="16">SUM(E119:I119)</f>
        <v>0</v>
      </c>
      <c r="E119" s="284"/>
      <c r="F119" s="325"/>
      <c r="G119" s="284"/>
      <c r="H119" s="184">
        <f>'1 квартал'!H119+'2 квартал'!H119+'3 квартал'!H119</f>
        <v>0</v>
      </c>
      <c r="I119" s="284"/>
      <c r="J119" s="206">
        <f t="shared" ref="J119:J130" si="17">SUM(K119:O119)</f>
        <v>2156.866</v>
      </c>
      <c r="K119" s="284"/>
      <c r="L119" s="325"/>
      <c r="M119" s="214"/>
      <c r="N119" s="184">
        <f>'1 квартал'!N119+'2 квартал'!N119+'3 квартал'!N119</f>
        <v>2156.866</v>
      </c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16"/>
        <v>0</v>
      </c>
      <c r="E120" s="324"/>
      <c r="F120" s="324"/>
      <c r="G120" s="324"/>
      <c r="H120" s="196"/>
      <c r="I120" s="324"/>
      <c r="J120" s="196">
        <f t="shared" si="17"/>
        <v>0</v>
      </c>
      <c r="K120" s="196"/>
      <c r="L120" s="196"/>
      <c r="M120" s="196"/>
      <c r="N120" s="196"/>
      <c r="O120" s="196"/>
    </row>
    <row r="121" spans="1:15" ht="13.5" thickTop="1" thickBot="1">
      <c r="A121" s="862"/>
      <c r="B121" s="207"/>
      <c r="C121" s="208" t="s">
        <v>89</v>
      </c>
      <c r="D121" s="326">
        <f t="shared" si="16"/>
        <v>0</v>
      </c>
      <c r="E121" s="327"/>
      <c r="F121" s="327"/>
      <c r="G121" s="326"/>
      <c r="H121" s="184">
        <f>'1 квартал'!H121+'2 квартал'!H121+'3 квартал'!H121</f>
        <v>0</v>
      </c>
      <c r="I121" s="327"/>
      <c r="J121" s="209">
        <f t="shared" si="17"/>
        <v>2156.866</v>
      </c>
      <c r="K121" s="210"/>
      <c r="L121" s="210"/>
      <c r="M121" s="209"/>
      <c r="N121" s="184">
        <f>'1 квартал'!N121+'2 квартал'!N121+'3 квартал'!N121</f>
        <v>2156.866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16"/>
        <v>0</v>
      </c>
      <c r="E122" s="327"/>
      <c r="F122" s="327"/>
      <c r="G122" s="327"/>
      <c r="H122" s="339"/>
      <c r="I122" s="326"/>
      <c r="J122" s="209">
        <f t="shared" si="17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16"/>
        <v>0</v>
      </c>
      <c r="E123" s="327"/>
      <c r="F123" s="327"/>
      <c r="G123" s="327"/>
      <c r="H123" s="327"/>
      <c r="I123" s="326"/>
      <c r="J123" s="209">
        <f t="shared" si="17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16"/>
        <v>0</v>
      </c>
      <c r="E124" s="324"/>
      <c r="F124" s="324"/>
      <c r="G124" s="328"/>
      <c r="H124" s="328"/>
      <c r="I124" s="324"/>
      <c r="J124" s="196">
        <f t="shared" si="17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16"/>
        <v>0</v>
      </c>
      <c r="E125" s="380"/>
      <c r="F125" s="331"/>
      <c r="G125" s="326"/>
      <c r="H125" s="326"/>
      <c r="I125" s="324"/>
      <c r="J125" s="213">
        <f t="shared" si="17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16"/>
        <v>0</v>
      </c>
      <c r="E126" s="327"/>
      <c r="F126" s="327"/>
      <c r="G126" s="326"/>
      <c r="H126" s="326"/>
      <c r="I126" s="327"/>
      <c r="J126" s="209">
        <f t="shared" si="17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16"/>
        <v>0</v>
      </c>
      <c r="E127" s="327"/>
      <c r="F127" s="327"/>
      <c r="G127" s="327"/>
      <c r="H127" s="326"/>
      <c r="I127" s="326"/>
      <c r="J127" s="209">
        <f t="shared" si="17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16"/>
        <v>0</v>
      </c>
      <c r="E128" s="327"/>
      <c r="F128" s="327"/>
      <c r="G128" s="327"/>
      <c r="H128" s="327"/>
      <c r="I128" s="326"/>
      <c r="J128" s="209">
        <f t="shared" si="17"/>
        <v>0</v>
      </c>
      <c r="K128" s="210"/>
      <c r="L128" s="210"/>
      <c r="M128" s="210"/>
      <c r="N128" s="210"/>
      <c r="O128" s="209"/>
    </row>
    <row r="129" spans="1:16" ht="13.5" thickTop="1" thickBot="1">
      <c r="A129" s="862"/>
      <c r="B129" s="182" t="s">
        <v>246</v>
      </c>
      <c r="C129" s="182" t="s">
        <v>97</v>
      </c>
      <c r="D129" s="324">
        <f t="shared" si="16"/>
        <v>0</v>
      </c>
      <c r="E129" s="324"/>
      <c r="F129" s="324"/>
      <c r="G129" s="324"/>
      <c r="H129" s="324"/>
      <c r="I129" s="324"/>
      <c r="J129" s="196">
        <f t="shared" si="17"/>
        <v>0</v>
      </c>
      <c r="K129" s="196"/>
      <c r="L129" s="196"/>
      <c r="M129" s="196"/>
      <c r="N129" s="185"/>
      <c r="O129" s="196"/>
    </row>
    <row r="130" spans="1:16" ht="13.5" thickTop="1" thickBot="1">
      <c r="A130" s="862"/>
      <c r="B130" s="182" t="s">
        <v>247</v>
      </c>
      <c r="C130" s="182" t="s">
        <v>99</v>
      </c>
      <c r="D130" s="324">
        <f t="shared" si="16"/>
        <v>0</v>
      </c>
      <c r="E130" s="324"/>
      <c r="F130" s="324"/>
      <c r="G130" s="324"/>
      <c r="H130" s="323"/>
      <c r="I130" s="324"/>
      <c r="J130" s="196">
        <f t="shared" si="17"/>
        <v>0</v>
      </c>
      <c r="K130" s="196"/>
      <c r="L130" s="196"/>
      <c r="M130" s="196"/>
      <c r="N130" s="196"/>
      <c r="O130" s="196"/>
    </row>
    <row r="131" spans="1:16" ht="13.5" thickTop="1" thickBot="1">
      <c r="A131" s="862"/>
      <c r="B131" s="204" t="s">
        <v>250</v>
      </c>
      <c r="C131" s="595" t="s">
        <v>249</v>
      </c>
      <c r="D131" s="325">
        <f t="shared" ref="D131:D142" si="18">SUM(E131:I131)</f>
        <v>0</v>
      </c>
      <c r="E131" s="284"/>
      <c r="F131" s="325"/>
      <c r="G131" s="284"/>
      <c r="H131" s="184">
        <f>'1 квартал'!H131+'2 квартал'!H131+'3 квартал'!H131</f>
        <v>0</v>
      </c>
      <c r="I131" s="184">
        <f>'1 квартал'!I131+'2 квартал'!I131+'3 квартал'!I131</f>
        <v>0</v>
      </c>
      <c r="J131" s="206">
        <f t="shared" ref="J131:J142" si="19">SUM(K131:O131)</f>
        <v>248.56800000000001</v>
      </c>
      <c r="K131" s="284"/>
      <c r="L131" s="325"/>
      <c r="M131" s="214"/>
      <c r="N131" s="184">
        <f>'1 квартал'!N131+'2 квартал'!N131+'3 квартал'!N131</f>
        <v>181.78700000000001</v>
      </c>
      <c r="O131" s="184">
        <f>'1 квартал'!O131+'2 квартал'!O131+'3 квартал'!O131</f>
        <v>66.781000000000006</v>
      </c>
    </row>
    <row r="132" spans="1:16" ht="13.5" thickTop="1" thickBot="1">
      <c r="A132" s="862"/>
      <c r="B132" s="182" t="s">
        <v>251</v>
      </c>
      <c r="C132" s="182" t="s">
        <v>88</v>
      </c>
      <c r="D132" s="324">
        <f t="shared" si="18"/>
        <v>0</v>
      </c>
      <c r="E132" s="324"/>
      <c r="F132" s="324"/>
      <c r="G132" s="324"/>
      <c r="H132" s="324"/>
      <c r="I132" s="324"/>
      <c r="J132" s="196">
        <f t="shared" si="19"/>
        <v>0</v>
      </c>
      <c r="K132" s="196"/>
      <c r="L132" s="196"/>
      <c r="M132" s="196"/>
      <c r="N132" s="196"/>
      <c r="O132" s="196"/>
    </row>
    <row r="133" spans="1:16" ht="13.5" thickTop="1" thickBot="1">
      <c r="A133" s="862"/>
      <c r="B133" s="207"/>
      <c r="C133" s="208" t="s">
        <v>89</v>
      </c>
      <c r="D133" s="326">
        <f t="shared" si="18"/>
        <v>0</v>
      </c>
      <c r="E133" s="327"/>
      <c r="F133" s="327"/>
      <c r="G133" s="326"/>
      <c r="H133" s="339"/>
      <c r="I133" s="327"/>
      <c r="J133" s="209">
        <f t="shared" si="19"/>
        <v>0</v>
      </c>
      <c r="K133" s="210"/>
      <c r="L133" s="210"/>
      <c r="M133" s="209"/>
      <c r="N133" s="339"/>
      <c r="O133" s="210"/>
    </row>
    <row r="134" spans="1:16" ht="13.5" thickTop="1" thickBot="1">
      <c r="A134" s="862"/>
      <c r="B134" s="207"/>
      <c r="C134" s="208" t="s">
        <v>90</v>
      </c>
      <c r="D134" s="326">
        <f t="shared" si="18"/>
        <v>0</v>
      </c>
      <c r="E134" s="327"/>
      <c r="F134" s="327"/>
      <c r="G134" s="327"/>
      <c r="H134" s="339"/>
      <c r="I134" s="326"/>
      <c r="J134" s="209">
        <f t="shared" si="19"/>
        <v>0</v>
      </c>
      <c r="K134" s="210"/>
      <c r="L134" s="210"/>
      <c r="M134" s="210"/>
      <c r="N134" s="699"/>
      <c r="O134" s="209"/>
    </row>
    <row r="135" spans="1:16" ht="13.5" thickTop="1" thickBot="1">
      <c r="A135" s="862"/>
      <c r="B135" s="207"/>
      <c r="C135" s="208" t="s">
        <v>91</v>
      </c>
      <c r="D135" s="326">
        <f t="shared" si="18"/>
        <v>0</v>
      </c>
      <c r="E135" s="327"/>
      <c r="F135" s="327"/>
      <c r="G135" s="327"/>
      <c r="H135" s="327"/>
      <c r="I135" s="326"/>
      <c r="J135" s="209">
        <f t="shared" si="19"/>
        <v>0</v>
      </c>
      <c r="K135" s="210"/>
      <c r="L135" s="210"/>
      <c r="M135" s="210"/>
      <c r="N135" s="210"/>
      <c r="O135" s="209"/>
    </row>
    <row r="136" spans="1:16" ht="13.5" thickTop="1" thickBot="1">
      <c r="A136" s="862"/>
      <c r="B136" s="182" t="s">
        <v>252</v>
      </c>
      <c r="C136" s="182" t="s">
        <v>93</v>
      </c>
      <c r="D136" s="324">
        <f t="shared" si="18"/>
        <v>0</v>
      </c>
      <c r="E136" s="324"/>
      <c r="F136" s="324"/>
      <c r="G136" s="328"/>
      <c r="H136" s="328"/>
      <c r="I136" s="324"/>
      <c r="J136" s="196">
        <f t="shared" si="19"/>
        <v>0</v>
      </c>
      <c r="K136" s="196"/>
      <c r="L136" s="196"/>
      <c r="M136" s="211"/>
      <c r="N136" s="211"/>
      <c r="O136" s="196"/>
    </row>
    <row r="137" spans="1:16" ht="13.5" thickTop="1" thickBot="1">
      <c r="A137" s="862"/>
      <c r="B137" s="182" t="s">
        <v>253</v>
      </c>
      <c r="C137" s="182" t="s">
        <v>95</v>
      </c>
      <c r="D137" s="330">
        <f t="shared" si="18"/>
        <v>0</v>
      </c>
      <c r="E137" s="380"/>
      <c r="F137" s="331"/>
      <c r="G137" s="326"/>
      <c r="H137" s="326"/>
      <c r="I137" s="324"/>
      <c r="J137" s="213">
        <f t="shared" si="19"/>
        <v>0</v>
      </c>
      <c r="K137" s="383"/>
      <c r="L137" s="320"/>
      <c r="M137" s="209"/>
      <c r="N137" s="209"/>
      <c r="O137" s="196"/>
    </row>
    <row r="138" spans="1:16" ht="13.5" thickTop="1" thickBot="1">
      <c r="A138" s="862"/>
      <c r="B138" s="207"/>
      <c r="C138" s="208" t="s">
        <v>89</v>
      </c>
      <c r="D138" s="326">
        <f t="shared" si="18"/>
        <v>0</v>
      </c>
      <c r="E138" s="327"/>
      <c r="F138" s="327"/>
      <c r="G138" s="326"/>
      <c r="H138" s="326"/>
      <c r="I138" s="327"/>
      <c r="J138" s="209">
        <f t="shared" si="19"/>
        <v>0</v>
      </c>
      <c r="K138" s="210"/>
      <c r="L138" s="210"/>
      <c r="M138" s="209"/>
      <c r="N138" s="209"/>
      <c r="O138" s="210"/>
    </row>
    <row r="139" spans="1:16" ht="13.5" thickTop="1" thickBot="1">
      <c r="A139" s="862"/>
      <c r="B139" s="207"/>
      <c r="C139" s="208" t="s">
        <v>90</v>
      </c>
      <c r="D139" s="326">
        <f t="shared" si="18"/>
        <v>0</v>
      </c>
      <c r="E139" s="327"/>
      <c r="F139" s="327"/>
      <c r="G139" s="327"/>
      <c r="H139" s="326"/>
      <c r="I139" s="326"/>
      <c r="J139" s="209">
        <f t="shared" si="19"/>
        <v>0</v>
      </c>
      <c r="K139" s="210"/>
      <c r="L139" s="210"/>
      <c r="M139" s="210"/>
      <c r="N139" s="209"/>
      <c r="O139" s="209"/>
    </row>
    <row r="140" spans="1:16" ht="13.5" thickTop="1" thickBot="1">
      <c r="A140" s="862"/>
      <c r="B140" s="207"/>
      <c r="C140" s="208" t="s">
        <v>91</v>
      </c>
      <c r="D140" s="326">
        <f t="shared" si="18"/>
        <v>0</v>
      </c>
      <c r="E140" s="327"/>
      <c r="F140" s="327"/>
      <c r="G140" s="327"/>
      <c r="H140" s="327"/>
      <c r="I140" s="326"/>
      <c r="J140" s="209">
        <f t="shared" si="19"/>
        <v>0</v>
      </c>
      <c r="K140" s="210"/>
      <c r="L140" s="210"/>
      <c r="M140" s="210"/>
      <c r="N140" s="210"/>
      <c r="O140" s="209"/>
    </row>
    <row r="141" spans="1:16" ht="13.5" thickTop="1" thickBot="1">
      <c r="A141" s="862"/>
      <c r="B141" s="182" t="s">
        <v>254</v>
      </c>
      <c r="C141" s="182" t="s">
        <v>97</v>
      </c>
      <c r="D141" s="324">
        <f t="shared" si="18"/>
        <v>0</v>
      </c>
      <c r="E141" s="324"/>
      <c r="F141" s="324"/>
      <c r="G141" s="324"/>
      <c r="H141" s="324"/>
      <c r="I141" s="324"/>
      <c r="J141" s="196">
        <f t="shared" si="19"/>
        <v>0</v>
      </c>
      <c r="K141" s="196"/>
      <c r="L141" s="196"/>
      <c r="M141" s="196"/>
      <c r="N141" s="185"/>
      <c r="O141" s="196"/>
    </row>
    <row r="142" spans="1:16" ht="13.5" thickTop="1" thickBot="1">
      <c r="A142" s="862"/>
      <c r="B142" s="182" t="s">
        <v>255</v>
      </c>
      <c r="C142" s="182" t="s">
        <v>99</v>
      </c>
      <c r="D142" s="324">
        <f t="shared" si="18"/>
        <v>0</v>
      </c>
      <c r="E142" s="324"/>
      <c r="F142" s="324"/>
      <c r="G142" s="324"/>
      <c r="H142" s="323"/>
      <c r="I142" s="324"/>
      <c r="J142" s="196">
        <f t="shared" si="19"/>
        <v>0</v>
      </c>
      <c r="K142" s="196"/>
      <c r="L142" s="196"/>
      <c r="M142" s="196"/>
      <c r="N142" s="196"/>
      <c r="O142" s="196"/>
    </row>
    <row r="143" spans="1:16" ht="12.75" customHeight="1" thickTop="1" thickBot="1">
      <c r="A143" s="862"/>
      <c r="B143" s="179" t="s">
        <v>100</v>
      </c>
      <c r="C143" s="179" t="s">
        <v>101</v>
      </c>
      <c r="D143" s="181">
        <f t="shared" si="10"/>
        <v>2492891.2000000002</v>
      </c>
      <c r="E143" s="233">
        <f>SUM(E144:E147)</f>
        <v>0</v>
      </c>
      <c r="F143" s="233">
        <f>SUM(F144:F147)</f>
        <v>812110</v>
      </c>
      <c r="G143" s="233">
        <f>SUM(G144:G147)</f>
        <v>38880.199999999997</v>
      </c>
      <c r="H143" s="233">
        <f>SUM(H144:H147)</f>
        <v>608162.5</v>
      </c>
      <c r="I143" s="181">
        <f>SUM(I144:I147)</f>
        <v>1033738.5</v>
      </c>
      <c r="J143" s="181">
        <f t="shared" si="11"/>
        <v>2257255.7240000004</v>
      </c>
      <c r="K143" s="233">
        <f>SUM(K144:K147)</f>
        <v>0</v>
      </c>
      <c r="L143" s="690">
        <f>SUM(L144:L147)</f>
        <v>785047.17400000012</v>
      </c>
      <c r="M143" s="690">
        <f>SUM(M144:M147)</f>
        <v>19497.599000000002</v>
      </c>
      <c r="N143" s="690">
        <f>SUM(N144:N147)</f>
        <v>557178.79099999997</v>
      </c>
      <c r="O143" s="532">
        <f>SUM(O144:O147)</f>
        <v>895532.16</v>
      </c>
      <c r="P143" s="24"/>
    </row>
    <row r="144" spans="1:16" ht="12.75" customHeight="1" thickTop="1" thickBot="1">
      <c r="A144" s="862"/>
      <c r="B144" s="186" t="s">
        <v>102</v>
      </c>
      <c r="C144" s="187" t="s">
        <v>103</v>
      </c>
      <c r="D144" s="217">
        <f t="shared" si="10"/>
        <v>688756.60954999994</v>
      </c>
      <c r="E144" s="235"/>
      <c r="F144" s="235"/>
      <c r="G144" s="235"/>
      <c r="H144" s="235"/>
      <c r="I144" s="184">
        <f>'1 квартал'!I144+'2 квартал'!I144+'3 квартал'!I144</f>
        <v>688756.60954999994</v>
      </c>
      <c r="J144" s="218">
        <f t="shared" si="11"/>
        <v>640166.27099999995</v>
      </c>
      <c r="K144" s="235"/>
      <c r="L144" s="235"/>
      <c r="M144" s="235"/>
      <c r="N144" s="235"/>
      <c r="O144" s="184">
        <f>'1 квартал'!O144+'2 квартал'!O144+'3 квартал'!O144</f>
        <v>640166.27099999995</v>
      </c>
      <c r="P144" s="24"/>
    </row>
    <row r="145" spans="1:19" ht="12.75" customHeight="1" thickTop="1" thickBot="1">
      <c r="A145" s="862"/>
      <c r="B145" s="186" t="s">
        <v>104</v>
      </c>
      <c r="C145" s="187" t="s">
        <v>206</v>
      </c>
      <c r="D145" s="217">
        <f t="shared" si="10"/>
        <v>0</v>
      </c>
      <c r="E145" s="235"/>
      <c r="F145" s="235"/>
      <c r="G145" s="235"/>
      <c r="H145" s="235"/>
      <c r="I145" s="184">
        <f>'1 квартал'!I145+'2 квартал'!I145+'3 квартал'!I145</f>
        <v>0</v>
      </c>
      <c r="J145" s="218"/>
      <c r="K145" s="235"/>
      <c r="L145" s="235"/>
      <c r="M145" s="235"/>
      <c r="N145" s="235"/>
      <c r="O145" s="184">
        <f>'1 квартал'!O145+'2 квартал'!O145+'3 квартал'!O145</f>
        <v>0</v>
      </c>
      <c r="P145" s="24"/>
    </row>
    <row r="146" spans="1:19" ht="12.75" customHeight="1" thickTop="1" thickBot="1">
      <c r="A146" s="862"/>
      <c r="B146" s="186" t="s">
        <v>106</v>
      </c>
      <c r="C146" s="187" t="s">
        <v>105</v>
      </c>
      <c r="D146" s="217">
        <f t="shared" si="10"/>
        <v>1804134.59045</v>
      </c>
      <c r="E146" s="184">
        <f>'1 квартал'!E146+'2 квартал'!E146+'3 квартал'!E146</f>
        <v>0</v>
      </c>
      <c r="F146" s="184">
        <f>'1 квартал'!F146+'2 квартал'!F146+'3 квартал'!F146</f>
        <v>812110</v>
      </c>
      <c r="G146" s="184">
        <f>'1 квартал'!G146+'2 квартал'!G146+'3 квартал'!G146</f>
        <v>38880.199999999997</v>
      </c>
      <c r="H146" s="184">
        <f>'1 квартал'!H146+'2 квартал'!H146+'3 квартал'!H146</f>
        <v>608162.5</v>
      </c>
      <c r="I146" s="184">
        <f>'1 квартал'!I146+'2 квартал'!I146+'3 квартал'!I146</f>
        <v>344981.89045000001</v>
      </c>
      <c r="J146" s="218">
        <f t="shared" si="11"/>
        <v>1412773.03</v>
      </c>
      <c r="K146" s="184">
        <f>'1 квартал'!K146+'2 квартал'!K146+'3 квартал'!K146</f>
        <v>0</v>
      </c>
      <c r="L146" s="184">
        <f>'1 квартал'!L146+'2 квартал'!L146+'3 квартал'!L146</f>
        <v>779938.62400000007</v>
      </c>
      <c r="M146" s="184">
        <f>'1 квартал'!M146+'2 квартал'!M146+'3 квартал'!M146</f>
        <v>18420.398000000001</v>
      </c>
      <c r="N146" s="184">
        <f>'1 квартал'!N146+'2 квартал'!N146+'3 квартал'!N146</f>
        <v>408766.01199999999</v>
      </c>
      <c r="O146" s="184">
        <f>'1 квартал'!O146+'2 квартал'!O146+'3 квартал'!O146</f>
        <v>205647.99600000001</v>
      </c>
    </row>
    <row r="147" spans="1:19" ht="12.75" customHeight="1" thickTop="1" thickBot="1">
      <c r="A147" s="862"/>
      <c r="B147" s="186" t="s">
        <v>207</v>
      </c>
      <c r="C147" s="187" t="s">
        <v>107</v>
      </c>
      <c r="D147" s="217">
        <f t="shared" si="10"/>
        <v>0</v>
      </c>
      <c r="E147" s="184">
        <f>'1 квартал'!E147+'2 квартал'!E147+'3 квартал'!E147</f>
        <v>0</v>
      </c>
      <c r="F147" s="184">
        <f>'1 квартал'!F147+'2 квартал'!F147+'3 квартал'!F147</f>
        <v>0</v>
      </c>
      <c r="G147" s="184">
        <f>'1 квартал'!G147+'2 квартал'!G147+'3 квартал'!G147</f>
        <v>0</v>
      </c>
      <c r="H147" s="184">
        <f>'1 квартал'!H147+'2 квартал'!H147+'3 квартал'!H147</f>
        <v>0</v>
      </c>
      <c r="I147" s="184">
        <f>'1 квартал'!I147+'2 квартал'!I147+'3 квартал'!I147</f>
        <v>0</v>
      </c>
      <c r="J147" s="218">
        <f t="shared" si="11"/>
        <v>204316.42299999995</v>
      </c>
      <c r="K147" s="184">
        <f>'1 квартал'!K147+'2 квартал'!K147+'3 квартал'!K147</f>
        <v>0</v>
      </c>
      <c r="L147" s="184">
        <f>'1 квартал'!L147+'2 квартал'!L147+'3 квартал'!L147</f>
        <v>5108.55</v>
      </c>
      <c r="M147" s="184">
        <f>'1 квартал'!M147+'2 квартал'!M147+'3 квартал'!M147</f>
        <v>1077.201</v>
      </c>
      <c r="N147" s="184">
        <f>'1 квартал'!N147+'2 квартал'!N147+'3 квартал'!N147</f>
        <v>148412.77899999998</v>
      </c>
      <c r="O147" s="184">
        <f>'1 квартал'!O147+'2 квартал'!O147+'3 квартал'!O147</f>
        <v>49717.892999999996</v>
      </c>
    </row>
    <row r="148" spans="1:19" ht="12.75" customHeight="1" thickTop="1" thickBot="1">
      <c r="A148" s="862"/>
      <c r="B148" s="186" t="s">
        <v>108</v>
      </c>
      <c r="C148" s="186" t="s">
        <v>208</v>
      </c>
      <c r="D148" s="291">
        <f>D150/1.18/D143</f>
        <v>1.2083429310208178</v>
      </c>
      <c r="E148" s="596">
        <v>0.70121008003841834</v>
      </c>
      <c r="F148" s="596">
        <v>0.70121008003841834</v>
      </c>
      <c r="G148" s="596">
        <v>0.91429067252740459</v>
      </c>
      <c r="H148" s="596">
        <v>1.4643084007086922</v>
      </c>
      <c r="I148" s="596">
        <v>2.0787667654217783</v>
      </c>
      <c r="J148" s="291">
        <f>J150/1.18/J143</f>
        <v>1.1833952509983843</v>
      </c>
      <c r="K148" s="596">
        <v>0.69938422295993141</v>
      </c>
      <c r="L148" s="596">
        <v>0.69938422295993141</v>
      </c>
      <c r="M148" s="596">
        <v>0.88092530881058717</v>
      </c>
      <c r="N148" s="596">
        <v>1.4535004362089943</v>
      </c>
      <c r="O148" s="596">
        <v>2.0725250572051546</v>
      </c>
    </row>
    <row r="149" spans="1:19" ht="12.75" customHeight="1" thickTop="1" thickBot="1">
      <c r="A149" s="862"/>
      <c r="B149" s="186" t="s">
        <v>205</v>
      </c>
      <c r="C149" s="186" t="s">
        <v>208</v>
      </c>
      <c r="D149" s="291"/>
      <c r="E149" s="289"/>
      <c r="F149" s="290"/>
      <c r="G149" s="290"/>
      <c r="H149" s="290"/>
      <c r="I149" s="598">
        <v>1.3125712052062677</v>
      </c>
      <c r="J149" s="291"/>
      <c r="K149" s="289"/>
      <c r="L149" s="290"/>
      <c r="M149" s="290"/>
      <c r="N149" s="290"/>
      <c r="O149" s="598">
        <v>1.3495694064966288</v>
      </c>
    </row>
    <row r="150" spans="1:19" ht="12.75" customHeight="1" thickTop="1" thickBot="1">
      <c r="A150" s="862"/>
      <c r="B150" s="186" t="s">
        <v>109</v>
      </c>
      <c r="C150" s="219" t="s">
        <v>166</v>
      </c>
      <c r="D150" s="285">
        <f>SUM(E150:I150)</f>
        <v>3554475.6020023245</v>
      </c>
      <c r="E150" s="620">
        <f>'1 квартал'!E150+'2 квартал'!E150+'3 квартал'!E150</f>
        <v>0</v>
      </c>
      <c r="F150" s="620">
        <f>'1 квартал'!F150+'2 квартал'!F150+'3 квартал'!F150</f>
        <v>548703.79457308119</v>
      </c>
      <c r="G150" s="620">
        <f>'1 квартал'!G150+'2 квартал'!G150+'3 квартал'!G150</f>
        <v>41946.408963080001</v>
      </c>
      <c r="H150" s="620">
        <f>'1 квартал'!H150+'2 квартал'!H150+'3 квартал'!H150</f>
        <v>1050834.20014028</v>
      </c>
      <c r="I150" s="620">
        <f>'1 квартал'!I150+'2 квартал'!I150+'3 квартал'!I150</f>
        <v>1912991.1983258834</v>
      </c>
      <c r="J150" s="261">
        <f>SUM(K150:O150)</f>
        <v>3152046.3308032136</v>
      </c>
      <c r="K150" s="620">
        <f>'1 квартал'!K150+'2 квартал'!K150+'3 квартал'!K150</f>
        <v>0</v>
      </c>
      <c r="L150" s="620">
        <f>'1 квартал'!L150+'2 квартал'!L150+'3 квартал'!L150</f>
        <v>532167.18729435839</v>
      </c>
      <c r="M150" s="620">
        <f>'1 квартал'!M150+'2 квартал'!M150+'3 квартал'!M150</f>
        <v>20267.595535765198</v>
      </c>
      <c r="N150" s="620">
        <f>'1 квартал'!N150+'2 квартал'!N150+'3 квартал'!N150</f>
        <v>955634.34660258191</v>
      </c>
      <c r="O150" s="620">
        <f>'1 квартал'!O150+'2 квартал'!O150+'3 квартал'!O150</f>
        <v>1643977.2013705079</v>
      </c>
      <c r="Q150" s="24"/>
    </row>
    <row r="151" spans="1:19" ht="12.75" customHeight="1" thickTop="1" thickBot="1">
      <c r="A151" s="863" t="s">
        <v>111</v>
      </c>
      <c r="B151" s="220" t="s">
        <v>112</v>
      </c>
      <c r="C151" s="221" t="s">
        <v>113</v>
      </c>
      <c r="D151" s="222">
        <f>SUM(E151:I151)</f>
        <v>455820</v>
      </c>
      <c r="E151" s="222">
        <f>E44-E34-E46</f>
        <v>0</v>
      </c>
      <c r="F151" s="222">
        <f>F44-F34-F46</f>
        <v>70580</v>
      </c>
      <c r="G151" s="222">
        <f>G44-G34-G46</f>
        <v>34470</v>
      </c>
      <c r="H151" s="222">
        <f>H44-H34-H46</f>
        <v>136580</v>
      </c>
      <c r="I151" s="222">
        <f>I44-I34-I46</f>
        <v>214190</v>
      </c>
      <c r="J151" s="613">
        <f>SUM(K151:O151)</f>
        <v>515868.27200000011</v>
      </c>
      <c r="K151" s="222">
        <f>K44-K34-K46</f>
        <v>0</v>
      </c>
      <c r="L151" s="222">
        <f>L44-L34-L46</f>
        <v>66633.54787500028</v>
      </c>
      <c r="M151" s="222">
        <f>M44-M34-M46</f>
        <v>26752.062999999827</v>
      </c>
      <c r="N151" s="222">
        <f>N44-N34-N46</f>
        <v>127840.524125</v>
      </c>
      <c r="O151" s="222">
        <f>O44-O34-O46</f>
        <v>294642.13699999999</v>
      </c>
    </row>
    <row r="152" spans="1:19" ht="12.75" customHeight="1" thickTop="1" thickBot="1">
      <c r="A152" s="863"/>
      <c r="B152" s="234" t="s">
        <v>114</v>
      </c>
      <c r="C152" s="179" t="s">
        <v>115</v>
      </c>
      <c r="D152" s="346">
        <f t="shared" ref="D152:J152" si="20">IF(D44=0,0,D151/D44*100)</f>
        <v>15.346389649216722</v>
      </c>
      <c r="E152" s="346">
        <f t="shared" si="20"/>
        <v>0</v>
      </c>
      <c r="F152" s="346">
        <f t="shared" si="20"/>
        <v>3.1064730659366293</v>
      </c>
      <c r="G152" s="346">
        <f t="shared" si="20"/>
        <v>3.8778090772456872</v>
      </c>
      <c r="H152" s="346">
        <f t="shared" si="20"/>
        <v>6.2438284021504584</v>
      </c>
      <c r="I152" s="346">
        <f t="shared" si="20"/>
        <v>17.042624463912031</v>
      </c>
      <c r="J152" s="346">
        <f t="shared" si="20"/>
        <v>18.478953468785093</v>
      </c>
      <c r="K152" s="346">
        <f>IF(K44=0,0,K151/K44*100)</f>
        <v>0</v>
      </c>
      <c r="L152" s="346">
        <f t="shared" ref="L152:O152" si="21">IF(L44=0,0,L151/L44*100)</f>
        <v>3.0506300819223746</v>
      </c>
      <c r="M152" s="346">
        <f t="shared" si="21"/>
        <v>3.5561948645388761</v>
      </c>
      <c r="N152" s="346">
        <f t="shared" si="21"/>
        <v>6.2005276695534528</v>
      </c>
      <c r="O152" s="346">
        <f t="shared" si="21"/>
        <v>24.535721280791169</v>
      </c>
    </row>
    <row r="153" spans="1:19" ht="12.75" customHeight="1" thickTop="1" thickBot="1">
      <c r="A153" s="863"/>
      <c r="B153" s="234" t="s">
        <v>116</v>
      </c>
      <c r="C153" s="179" t="s">
        <v>117</v>
      </c>
      <c r="D153" s="346">
        <f t="shared" ref="D153:J153" si="22">IF(D45=0,0,D151/D45*100)</f>
        <v>15.346389649216722</v>
      </c>
      <c r="E153" s="346">
        <f t="shared" si="22"/>
        <v>0</v>
      </c>
      <c r="F153" s="346">
        <f t="shared" si="22"/>
        <v>3.1064730659366293</v>
      </c>
      <c r="G153" s="346">
        <f t="shared" si="22"/>
        <v>3.9809937863235367</v>
      </c>
      <c r="H153" s="346">
        <f t="shared" si="22"/>
        <v>6.8233962858002855</v>
      </c>
      <c r="I153" s="346">
        <f t="shared" si="22"/>
        <v>17.163643590157609</v>
      </c>
      <c r="J153" s="346">
        <f t="shared" si="22"/>
        <v>18.478953468785093</v>
      </c>
      <c r="K153" s="346">
        <f>IF(K45=0,0,K151/K45*100)</f>
        <v>0</v>
      </c>
      <c r="L153" s="346">
        <f t="shared" ref="L153:O153" si="23">IF(L45=0,0,L151/L45*100)</f>
        <v>3.0506300819223737</v>
      </c>
      <c r="M153" s="346">
        <f t="shared" si="23"/>
        <v>3.6292522091561232</v>
      </c>
      <c r="N153" s="346">
        <f t="shared" si="23"/>
        <v>6.7788138258617456</v>
      </c>
      <c r="O153" s="346">
        <f t="shared" si="23"/>
        <v>24.756217450056393</v>
      </c>
    </row>
    <row r="154" spans="1:19" ht="12.75" customHeight="1" thickTop="1" thickBot="1">
      <c r="A154" s="863"/>
      <c r="B154" s="224" t="s">
        <v>118</v>
      </c>
      <c r="C154" s="225" t="s">
        <v>209</v>
      </c>
      <c r="D154" s="451"/>
      <c r="E154" s="451">
        <f>SUM(F154:J154)</f>
        <v>67509.141453221673</v>
      </c>
      <c r="F154" s="184">
        <f>'1 квартал'!F154+'2 квартал'!F154+'3 квартал'!F154</f>
        <v>32878.706726021672</v>
      </c>
      <c r="G154" s="451"/>
      <c r="H154" s="451"/>
      <c r="I154" s="451"/>
      <c r="J154" s="451">
        <f>SUM(K154:O154)</f>
        <v>34630.434727200001</v>
      </c>
      <c r="K154" s="451"/>
      <c r="L154" s="449">
        <f>'1 квартал'!L154+'2 квартал'!L154+'3 квартал'!L154</f>
        <v>34630.434727200001</v>
      </c>
      <c r="M154" s="451">
        <v>0</v>
      </c>
      <c r="N154" s="451">
        <v>0</v>
      </c>
      <c r="O154" s="451">
        <v>0</v>
      </c>
    </row>
    <row r="155" spans="1:19" ht="12.75" customHeight="1" thickTop="1" thickBot="1">
      <c r="A155" s="863"/>
      <c r="B155" s="227" t="s">
        <v>120</v>
      </c>
      <c r="C155" s="186" t="s">
        <v>121</v>
      </c>
      <c r="D155" s="450">
        <f>SUM(E155:I155)</f>
        <v>455820</v>
      </c>
      <c r="E155" s="450">
        <f>E151</f>
        <v>0</v>
      </c>
      <c r="F155" s="450">
        <f>F151</f>
        <v>70580</v>
      </c>
      <c r="G155" s="450">
        <f>G151</f>
        <v>34470</v>
      </c>
      <c r="H155" s="450">
        <f>H151</f>
        <v>136580</v>
      </c>
      <c r="I155" s="450">
        <f>I151</f>
        <v>214190</v>
      </c>
      <c r="J155" s="450">
        <f>SUM(K155:O155)</f>
        <v>515868.27200000011</v>
      </c>
      <c r="K155" s="450">
        <f>K151</f>
        <v>0</v>
      </c>
      <c r="L155" s="450">
        <f>L151</f>
        <v>66633.54787500028</v>
      </c>
      <c r="M155" s="450">
        <f>M151</f>
        <v>26752.062999999827</v>
      </c>
      <c r="N155" s="450">
        <f>N151</f>
        <v>127840.524125</v>
      </c>
      <c r="O155" s="450">
        <f>O151</f>
        <v>294642.13699999999</v>
      </c>
    </row>
    <row r="156" spans="1:19" ht="12.75" customHeight="1" thickTop="1" thickBot="1">
      <c r="A156" s="863"/>
      <c r="B156" s="227" t="s">
        <v>122</v>
      </c>
      <c r="C156" s="186" t="s">
        <v>167</v>
      </c>
      <c r="D156" s="444">
        <f>D157/1.18/D155</f>
        <v>1.637645034875546</v>
      </c>
      <c r="E156" s="341">
        <v>1.637645034875546</v>
      </c>
      <c r="F156" s="341">
        <v>1.637645034875546</v>
      </c>
      <c r="G156" s="341">
        <v>1.637645034875546</v>
      </c>
      <c r="H156" s="341">
        <v>1.637645034875546</v>
      </c>
      <c r="I156" s="341">
        <v>1.637645034875546</v>
      </c>
      <c r="J156" s="455">
        <f>J157/1.18/J155</f>
        <v>1.5073892535411442</v>
      </c>
      <c r="K156" s="241">
        <v>1.5073892535411442</v>
      </c>
      <c r="L156" s="241">
        <v>1.5073892535411442</v>
      </c>
      <c r="M156" s="241">
        <v>1.5073892535411442</v>
      </c>
      <c r="N156" s="241">
        <v>1.5073892535411442</v>
      </c>
      <c r="O156" s="241">
        <v>1.5073892535411442</v>
      </c>
    </row>
    <row r="157" spans="1:19" ht="12.75" customHeight="1" thickTop="1" thickBot="1">
      <c r="A157" s="863"/>
      <c r="B157" s="227" t="s">
        <v>124</v>
      </c>
      <c r="C157" s="186" t="s">
        <v>168</v>
      </c>
      <c r="D157" s="450">
        <f>SUM(E157:I157)</f>
        <v>880836.20456042618</v>
      </c>
      <c r="E157" s="450">
        <f>E155*E156*1.18</f>
        <v>0</v>
      </c>
      <c r="F157" s="450">
        <f>F155*F156*1.18</f>
        <v>136390.28414258891</v>
      </c>
      <c r="G157" s="450">
        <f>G155*G156*1.18</f>
        <v>66610.556735548875</v>
      </c>
      <c r="H157" s="450">
        <f>H155*H156*1.18</f>
        <v>263930.07945869642</v>
      </c>
      <c r="I157" s="450">
        <f>I155*I156*1.18</f>
        <v>413905.28422359197</v>
      </c>
      <c r="J157" s="450">
        <f>SUM(K157:O157)</f>
        <v>917584.86155765527</v>
      </c>
      <c r="K157" s="450">
        <f>K155*K156*1.18</f>
        <v>0</v>
      </c>
      <c r="L157" s="450">
        <f>L155*L156*1.18</f>
        <v>118522.37891067182</v>
      </c>
      <c r="M157" s="450">
        <f>M155*M156*1.18</f>
        <v>47584.411285981376</v>
      </c>
      <c r="N157" s="450">
        <f>N155*N156*1.18</f>
        <v>227392.41003504899</v>
      </c>
      <c r="O157" s="450">
        <f>O155*O156*1.18</f>
        <v>524085.66132595303</v>
      </c>
    </row>
    <row r="158" spans="1:19" ht="12.75" customHeight="1" thickTop="1" thickBot="1">
      <c r="A158" s="863"/>
      <c r="B158" s="229" t="s">
        <v>126</v>
      </c>
      <c r="C158" s="225" t="s">
        <v>127</v>
      </c>
      <c r="D158" s="451">
        <f>SUM(E158:I158)</f>
        <v>424820</v>
      </c>
      <c r="E158" s="449">
        <f>'1 квартал'!E158+'2 квартал'!E158+'3 квартал'!E158</f>
        <v>0</v>
      </c>
      <c r="F158" s="449">
        <f>'6 месяцев'!F158+'3 квартал'!F158</f>
        <v>70580</v>
      </c>
      <c r="G158" s="449">
        <f>'6 месяцев'!G158+'3 квартал'!G158</f>
        <v>34470</v>
      </c>
      <c r="H158" s="449">
        <f>'6 месяцев'!H158+'3 квартал'!H158</f>
        <v>136580</v>
      </c>
      <c r="I158" s="449">
        <f>'6 месяцев'!I158+'3 квартал'!I158</f>
        <v>183190</v>
      </c>
      <c r="J158" s="451">
        <f>SUM(K158:O158)</f>
        <v>401472.86499999987</v>
      </c>
      <c r="K158" s="449">
        <f>'6 месяцев'!K158+'3 квартал'!K158</f>
        <v>-1.4210854715202004E-12</v>
      </c>
      <c r="L158" s="449">
        <f>'6 месяцев'!L158+'3 квартал'!L158</f>
        <v>66633.547400000039</v>
      </c>
      <c r="M158" s="449">
        <f>'6 месяцев'!M158+'3 квартал'!M158</f>
        <v>26752.062999999984</v>
      </c>
      <c r="N158" s="449">
        <f>'6 месяцев'!N158+'3 квартал'!N158</f>
        <v>127840.5245999999</v>
      </c>
      <c r="O158" s="449">
        <f>'6 месяцев'!O158+'3 квартал'!O158</f>
        <v>180246.72999999998</v>
      </c>
    </row>
    <row r="159" spans="1:19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24">IF(D44=0,0,D158/D44*100)</f>
        <v>14.302692402220718</v>
      </c>
      <c r="E159" s="345">
        <f t="shared" si="24"/>
        <v>0</v>
      </c>
      <c r="F159" s="345">
        <f t="shared" si="24"/>
        <v>3.1064730659366293</v>
      </c>
      <c r="G159" s="345">
        <f t="shared" si="24"/>
        <v>3.8778090772456872</v>
      </c>
      <c r="H159" s="345">
        <f t="shared" si="24"/>
        <v>6.2438284021504584</v>
      </c>
      <c r="I159" s="345">
        <f t="shared" si="24"/>
        <v>14.57602304283134</v>
      </c>
      <c r="J159" s="345">
        <f t="shared" si="24"/>
        <v>14.381187589910233</v>
      </c>
      <c r="K159" s="345">
        <f>IF(K44=0,0,K158/K44*100)</f>
        <v>0</v>
      </c>
      <c r="L159" s="345">
        <f t="shared" si="24"/>
        <v>3.0506300601758207</v>
      </c>
      <c r="M159" s="345">
        <f t="shared" si="24"/>
        <v>3.5561948645388961</v>
      </c>
      <c r="N159" s="345">
        <f t="shared" si="24"/>
        <v>6.2005276925919217</v>
      </c>
      <c r="O159" s="345">
        <f t="shared" si="24"/>
        <v>15.009677753776337</v>
      </c>
      <c r="P159" s="25"/>
      <c r="Q159" s="25"/>
      <c r="R159" s="25"/>
      <c r="S159" s="25"/>
    </row>
    <row r="160" spans="1:19" ht="12.75" customHeight="1" thickTop="1" thickBot="1">
      <c r="A160" s="863"/>
      <c r="B160" s="230" t="s">
        <v>130</v>
      </c>
      <c r="C160" s="225" t="s">
        <v>131</v>
      </c>
      <c r="D160" s="345">
        <f t="shared" ref="D160:O160" si="25">IF(D45=0,0,D158/D45*100)</f>
        <v>14.302692402220718</v>
      </c>
      <c r="E160" s="345">
        <f t="shared" si="25"/>
        <v>0</v>
      </c>
      <c r="F160" s="345">
        <f t="shared" si="25"/>
        <v>3.1064730659366293</v>
      </c>
      <c r="G160" s="345">
        <f t="shared" si="25"/>
        <v>3.9809937863235367</v>
      </c>
      <c r="H160" s="345">
        <f t="shared" si="25"/>
        <v>6.8233962858002855</v>
      </c>
      <c r="I160" s="345">
        <f t="shared" si="25"/>
        <v>14.679526911998565</v>
      </c>
      <c r="J160" s="345">
        <f t="shared" si="25"/>
        <v>14.381187589910233</v>
      </c>
      <c r="K160" s="345">
        <f t="shared" si="25"/>
        <v>0</v>
      </c>
      <c r="L160" s="345">
        <f t="shared" si="25"/>
        <v>3.0506300601758203</v>
      </c>
      <c r="M160" s="345">
        <f t="shared" si="25"/>
        <v>3.6292522091561441</v>
      </c>
      <c r="N160" s="345">
        <f t="shared" si="25"/>
        <v>6.7788138510488771</v>
      </c>
      <c r="O160" s="345">
        <f t="shared" si="25"/>
        <v>15.144565838326113</v>
      </c>
      <c r="P160" s="25"/>
      <c r="Q160" s="25"/>
      <c r="R160" s="25"/>
      <c r="S160" s="25"/>
    </row>
    <row r="161" spans="1:15" ht="12.75" customHeight="1" thickTop="1" thickBot="1">
      <c r="A161" s="863"/>
      <c r="B161" s="231" t="s">
        <v>132</v>
      </c>
      <c r="C161" s="186" t="s">
        <v>133</v>
      </c>
      <c r="D161" s="450">
        <f>SUM(E161:I161)</f>
        <v>31000</v>
      </c>
      <c r="E161" s="251">
        <f>E151-E158</f>
        <v>0</v>
      </c>
      <c r="F161" s="450">
        <f>F151-F158</f>
        <v>0</v>
      </c>
      <c r="G161" s="450">
        <f>G151-G158</f>
        <v>0</v>
      </c>
      <c r="H161" s="450">
        <f>H151-H158</f>
        <v>0</v>
      </c>
      <c r="I161" s="450">
        <f>I151-I158</f>
        <v>31000</v>
      </c>
      <c r="J161" s="450">
        <f>SUM(K161:O161)</f>
        <v>114395.40700000018</v>
      </c>
      <c r="K161" s="450">
        <f>K151-K158</f>
        <v>1.4210854715202004E-12</v>
      </c>
      <c r="L161" s="450">
        <f>L151-L158</f>
        <v>4.750002408400178E-4</v>
      </c>
      <c r="M161" s="450">
        <f>M151-M158</f>
        <v>-1.5643308870494366E-10</v>
      </c>
      <c r="N161" s="450">
        <f>N151-N158</f>
        <v>-4.7499990614596754E-4</v>
      </c>
      <c r="O161" s="450">
        <f>O151-O158</f>
        <v>114395.40700000001</v>
      </c>
    </row>
    <row r="162" spans="1:15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1.0436972469960037</v>
      </c>
      <c r="E162" s="347">
        <f t="shared" ref="E162:I162" si="26">IF(E44=0,0,E161/E44*100)</f>
        <v>0</v>
      </c>
      <c r="F162" s="347">
        <f t="shared" si="26"/>
        <v>0</v>
      </c>
      <c r="G162" s="347">
        <f t="shared" si="26"/>
        <v>0</v>
      </c>
      <c r="H162" s="347">
        <f t="shared" si="26"/>
        <v>0</v>
      </c>
      <c r="I162" s="347">
        <f t="shared" si="26"/>
        <v>2.4666014210806897</v>
      </c>
      <c r="J162" s="347">
        <f>IF(J44=0,0,J161/J44*100)</f>
        <v>4.0977658788748599</v>
      </c>
      <c r="K162" s="347">
        <f>IF(K44=0,0,K161/K44*100)</f>
        <v>0</v>
      </c>
      <c r="L162" s="347">
        <f t="shared" ref="L162:O162" si="27">IF(L44=0,0,L161/L44*100)</f>
        <v>2.1746553648099966E-8</v>
      </c>
      <c r="M162" s="347">
        <f t="shared" si="27"/>
        <v>-2.0794902684569732E-14</v>
      </c>
      <c r="N162" s="347">
        <f t="shared" si="27"/>
        <v>-2.3038469853374162E-8</v>
      </c>
      <c r="O162" s="347">
        <f t="shared" si="27"/>
        <v>9.5260435270148331</v>
      </c>
    </row>
    <row r="163" spans="1:15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1.0436972469960037</v>
      </c>
      <c r="E163" s="347">
        <f t="shared" ref="E163:O163" si="28">IF(E45=0,0,E161/E45*100)</f>
        <v>0</v>
      </c>
      <c r="F163" s="347">
        <f t="shared" si="28"/>
        <v>0</v>
      </c>
      <c r="G163" s="347">
        <f t="shared" si="28"/>
        <v>0</v>
      </c>
      <c r="H163" s="347">
        <f t="shared" si="28"/>
        <v>0</v>
      </c>
      <c r="I163" s="347">
        <f t="shared" si="28"/>
        <v>2.4841166781590451</v>
      </c>
      <c r="J163" s="347">
        <f t="shared" si="28"/>
        <v>4.0977658788748599</v>
      </c>
      <c r="K163" s="347">
        <f t="shared" si="28"/>
        <v>0</v>
      </c>
      <c r="L163" s="347">
        <f t="shared" si="28"/>
        <v>2.1746553648099963E-8</v>
      </c>
      <c r="M163" s="347">
        <f t="shared" si="28"/>
        <v>-2.1222106600434372E-14</v>
      </c>
      <c r="N163" s="347">
        <f t="shared" si="28"/>
        <v>-2.5187130239836358E-8</v>
      </c>
      <c r="O163" s="347">
        <f t="shared" si="28"/>
        <v>9.6116516117302773</v>
      </c>
    </row>
    <row r="164" spans="1:15">
      <c r="A164" s="94" t="s">
        <v>210</v>
      </c>
      <c r="J164" s="25"/>
      <c r="K164" s="25"/>
      <c r="L164" s="25"/>
      <c r="M164" s="25"/>
      <c r="N164" s="25"/>
      <c r="O164" s="25"/>
    </row>
    <row r="165" spans="1:15">
      <c r="J165" s="27"/>
      <c r="K165" s="82"/>
      <c r="L165" s="27"/>
      <c r="M165" s="27"/>
      <c r="N165" s="27"/>
      <c r="O165" s="27"/>
    </row>
    <row r="166" spans="1:15" ht="12.75" customHeight="1">
      <c r="B166" s="854" t="s">
        <v>138</v>
      </c>
      <c r="C166" s="855" t="s">
        <v>139</v>
      </c>
      <c r="D166" s="851" t="s">
        <v>140</v>
      </c>
      <c r="E166" s="851"/>
      <c r="F166" s="851"/>
      <c r="G166" s="851"/>
      <c r="H166" s="851"/>
      <c r="I166" s="851"/>
      <c r="J166" s="851" t="s">
        <v>140</v>
      </c>
      <c r="K166" s="851"/>
      <c r="L166" s="851"/>
      <c r="M166" s="851"/>
      <c r="N166" s="851"/>
      <c r="O166" s="851"/>
    </row>
    <row r="167" spans="1:15">
      <c r="B167" s="854"/>
      <c r="C167" s="855"/>
      <c r="D167" s="28" t="s">
        <v>141</v>
      </c>
      <c r="E167" s="29"/>
      <c r="F167" s="29" t="s">
        <v>5</v>
      </c>
      <c r="G167" s="30" t="s">
        <v>74</v>
      </c>
      <c r="H167" s="30" t="s">
        <v>76</v>
      </c>
      <c r="I167" s="31" t="s">
        <v>8</v>
      </c>
      <c r="J167" s="28" t="s">
        <v>141</v>
      </c>
      <c r="K167" s="29"/>
      <c r="L167" s="29" t="s">
        <v>5</v>
      </c>
      <c r="M167" s="30" t="s">
        <v>74</v>
      </c>
      <c r="N167" s="30" t="s">
        <v>76</v>
      </c>
      <c r="O167" s="31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>
        <f>D174+D175+D176</f>
        <v>2970210</v>
      </c>
      <c r="E169" s="35"/>
      <c r="F169" s="36">
        <f>F170+F174+F175+F176</f>
        <v>2272030</v>
      </c>
      <c r="G169" s="36">
        <f>G170+G174+G175+G176</f>
        <v>867934</v>
      </c>
      <c r="H169" s="36">
        <f>H170+H174+H175+H176</f>
        <v>2012210</v>
      </c>
      <c r="I169" s="37">
        <f>I170+I174+I175+I176</f>
        <v>1256790</v>
      </c>
      <c r="J169" s="34">
        <f>J174+J175+J176</f>
        <v>2791653.071</v>
      </c>
      <c r="K169" s="35"/>
      <c r="L169" s="36">
        <f>L170+L174+L175+L176</f>
        <v>2184255.2550000004</v>
      </c>
      <c r="M169" s="36">
        <f>M170+M174+M175+M176</f>
        <v>737123.28210499999</v>
      </c>
      <c r="N169" s="36">
        <f>N170+N174+N175+N176</f>
        <v>1893716.6791250003</v>
      </c>
      <c r="O169" s="37">
        <f>O170+O174+O175+O176</f>
        <v>1200870.085</v>
      </c>
    </row>
    <row r="170" spans="1:15" ht="12.75">
      <c r="B170" s="38" t="s">
        <v>12</v>
      </c>
      <c r="C170" s="39" t="s">
        <v>143</v>
      </c>
      <c r="D170" s="675">
        <f t="shared" ref="D170:D177" si="29">SUM(F170:I170)</f>
        <v>3438754</v>
      </c>
      <c r="E170" s="676"/>
      <c r="F170" s="676"/>
      <c r="G170" s="677">
        <f>SUM(G171:G173)</f>
        <v>444894</v>
      </c>
      <c r="H170" s="677">
        <f>SUM(H171:H173)</f>
        <v>1736960</v>
      </c>
      <c r="I170" s="678">
        <f>SUM(I171:I173)</f>
        <v>1256900</v>
      </c>
      <c r="J170" s="675">
        <f t="shared" ref="J170:J177" si="30">SUM(L170:O170)</f>
        <v>3224312.2302299999</v>
      </c>
      <c r="K170" s="676"/>
      <c r="L170" s="676"/>
      <c r="M170" s="677">
        <f>SUM(M171:M173)</f>
        <v>387389.68010499992</v>
      </c>
      <c r="N170" s="677">
        <f>SUM(N171:N173)</f>
        <v>1636058.473125</v>
      </c>
      <c r="O170" s="678">
        <f>SUM(O171:O173)</f>
        <v>1200864.077</v>
      </c>
    </row>
    <row r="171" spans="1:15" ht="12.75">
      <c r="B171" s="40" t="s">
        <v>144</v>
      </c>
      <c r="C171" s="41" t="s">
        <v>145</v>
      </c>
      <c r="D171" s="42">
        <f t="shared" si="29"/>
        <v>1389340</v>
      </c>
      <c r="E171" s="43"/>
      <c r="F171" s="44"/>
      <c r="G171" s="45">
        <f>G31-G49-G61-G73-G85-G97-G78-G109-G121-G54-G66-G90-G102-G114-G126</f>
        <v>444894</v>
      </c>
      <c r="H171" s="45">
        <f>H31-H49-H61-H73-H85-H97-H78-H54-H109-H66-H90-H102-H114-H121-H126</f>
        <v>944446</v>
      </c>
      <c r="I171" s="46"/>
      <c r="J171" s="42">
        <f t="shared" si="30"/>
        <v>1332574.5331250001</v>
      </c>
      <c r="K171" s="43"/>
      <c r="L171" s="44"/>
      <c r="M171" s="45">
        <f>M31-M49-M61-M73-M85-M97-M78-M109-M121-M54-M66-M90-M102-M114-M126</f>
        <v>387389.68010499992</v>
      </c>
      <c r="N171" s="45">
        <f>N31-N49-N61-N73-N85-N97-N78-N54-N109-N66-N90-N102-N114-N121-N126</f>
        <v>945184.85302000004</v>
      </c>
      <c r="O171" s="46"/>
    </row>
    <row r="172" spans="1:15" ht="12.75">
      <c r="B172" s="47" t="s">
        <v>146</v>
      </c>
      <c r="C172" s="48" t="s">
        <v>6</v>
      </c>
      <c r="D172" s="42">
        <f t="shared" si="29"/>
        <v>792514</v>
      </c>
      <c r="E172" s="43"/>
      <c r="F172" s="44"/>
      <c r="G172" s="49"/>
      <c r="H172" s="45">
        <f>H32-H50-H62-H74-H86-H98-H110-H55-H67-H79-H91-H103-H115-H122-H127</f>
        <v>792514</v>
      </c>
      <c r="I172" s="50">
        <f>I32-I50-I55-I62-I67-I74-I79-I86-I91-I98-I103-I110-I115-I122-I127</f>
        <v>0</v>
      </c>
      <c r="J172" s="42">
        <f t="shared" si="30"/>
        <v>690873.6201050001</v>
      </c>
      <c r="K172" s="43"/>
      <c r="L172" s="44"/>
      <c r="M172" s="49"/>
      <c r="N172" s="45">
        <f>N32-N50-N62-N74-N86-N98-N110-N55-N67-N79-N91-N103-N115-N122-N127</f>
        <v>690873.6201050001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>
        <f t="shared" si="29"/>
        <v>1256900</v>
      </c>
      <c r="E173" s="54"/>
      <c r="F173" s="55"/>
      <c r="G173" s="56"/>
      <c r="H173" s="56"/>
      <c r="I173" s="57">
        <f>I33-I51-I87-I75-I99-I111-I56-I63-I68-I80-I92-I104-I116-I123-I128</f>
        <v>1256900</v>
      </c>
      <c r="J173" s="53">
        <f t="shared" si="30"/>
        <v>1200864.077</v>
      </c>
      <c r="K173" s="54"/>
      <c r="L173" s="55"/>
      <c r="M173" s="56"/>
      <c r="N173" s="56"/>
      <c r="O173" s="57">
        <f>O33-O51-O87-O75-O99-O111-O56-O63-O68-O80-O92-O104-O116-O123-O128</f>
        <v>1200864.077</v>
      </c>
    </row>
    <row r="174" spans="1:15" ht="12.75">
      <c r="B174" s="58" t="s">
        <v>14</v>
      </c>
      <c r="C174" s="39" t="s">
        <v>148</v>
      </c>
      <c r="D174" s="110">
        <f t="shared" si="29"/>
        <v>1734038</v>
      </c>
      <c r="E174" s="111"/>
      <c r="F174" s="111">
        <f>F28+E28</f>
        <v>1413008</v>
      </c>
      <c r="G174" s="112">
        <f>G28</f>
        <v>291920</v>
      </c>
      <c r="H174" s="112">
        <f>H28</f>
        <v>29110</v>
      </c>
      <c r="I174" s="113">
        <f>I28</f>
        <v>0</v>
      </c>
      <c r="J174" s="110">
        <f t="shared" si="30"/>
        <v>2152870.5819999999</v>
      </c>
      <c r="K174" s="111"/>
      <c r="L174" s="111">
        <f>L28+K28</f>
        <v>1891320.6670000001</v>
      </c>
      <c r="M174" s="112">
        <f>M28</f>
        <v>236354.64299999998</v>
      </c>
      <c r="N174" s="112">
        <f>N28</f>
        <v>25195.272000000001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>
        <f t="shared" si="29"/>
        <v>1225672</v>
      </c>
      <c r="E175" s="124"/>
      <c r="F175" s="125">
        <f>F23+F24+F25+E23+E24+E25</f>
        <v>859022</v>
      </c>
      <c r="G175" s="125">
        <f>G23+G24+G25</f>
        <v>120620</v>
      </c>
      <c r="H175" s="125">
        <f>H23+H24+H25</f>
        <v>246140</v>
      </c>
      <c r="I175" s="126">
        <f>I23+I24+I25</f>
        <v>-110</v>
      </c>
      <c r="J175" s="123">
        <f t="shared" si="30"/>
        <v>637006.68900000013</v>
      </c>
      <c r="K175" s="124"/>
      <c r="L175" s="125">
        <f>L23+L24+L25+K23+K24+K25</f>
        <v>292934.58800000005</v>
      </c>
      <c r="M175" s="125">
        <f>M23+M24+M25</f>
        <v>111603.15899999999</v>
      </c>
      <c r="N175" s="125">
        <f>N23+N24+N25</f>
        <v>232462.93400000001</v>
      </c>
      <c r="O175" s="126">
        <f>O23+O24+O25</f>
        <v>6.0079999999999814</v>
      </c>
    </row>
    <row r="176" spans="1:15" ht="12.75">
      <c r="B176" s="61" t="s">
        <v>20</v>
      </c>
      <c r="C176" s="62" t="s">
        <v>150</v>
      </c>
      <c r="D176" s="129">
        <f t="shared" si="29"/>
        <v>10500</v>
      </c>
      <c r="E176" s="130"/>
      <c r="F176" s="131">
        <f>F29+E29</f>
        <v>0</v>
      </c>
      <c r="G176" s="131">
        <f>G29</f>
        <v>10500</v>
      </c>
      <c r="H176" s="131">
        <f>H29</f>
        <v>0</v>
      </c>
      <c r="I176" s="132">
        <f>I29</f>
        <v>0</v>
      </c>
      <c r="J176" s="129">
        <f t="shared" si="30"/>
        <v>1775.7999999999993</v>
      </c>
      <c r="K176" s="130"/>
      <c r="L176" s="131">
        <f>L29+K29</f>
        <v>0</v>
      </c>
      <c r="M176" s="131">
        <f>M29</f>
        <v>1775.7999999999993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29"/>
        <v>455820</v>
      </c>
      <c r="E177" s="136"/>
      <c r="F177" s="136">
        <f>F169-F180-G171-H171</f>
        <v>70580</v>
      </c>
      <c r="G177" s="136">
        <f>G169-G180-H172-I172</f>
        <v>34470</v>
      </c>
      <c r="H177" s="136">
        <f>H169-H180-I173</f>
        <v>136580</v>
      </c>
      <c r="I177" s="137">
        <f>I169-I180</f>
        <v>214190</v>
      </c>
      <c r="J177" s="135">
        <f t="shared" si="30"/>
        <v>515868.27200000023</v>
      </c>
      <c r="K177" s="136"/>
      <c r="L177" s="136">
        <f>L169-L180-M171-N171</f>
        <v>66633.54787500028</v>
      </c>
      <c r="M177" s="136">
        <f>M169-M180-N172-O172</f>
        <v>26752.062999999849</v>
      </c>
      <c r="N177" s="136">
        <f>N169-N180-O173</f>
        <v>127840.52412500023</v>
      </c>
      <c r="O177" s="137">
        <f>O169-O180</f>
        <v>294642.13699999987</v>
      </c>
    </row>
    <row r="178" spans="1:15" ht="12.75">
      <c r="B178" s="64"/>
      <c r="C178" s="65" t="s">
        <v>152</v>
      </c>
      <c r="D178" s="441">
        <f>IF(D169=0,0,D177/D169*100)</f>
        <v>15.346389649216722</v>
      </c>
      <c r="E178" s="140"/>
      <c r="F178" s="441">
        <f t="shared" ref="F178:I178" si="31">IF(F169=0,0,F177/F169*100)</f>
        <v>3.1064730659366293</v>
      </c>
      <c r="G178" s="441">
        <f t="shared" si="31"/>
        <v>3.9715001371071992</v>
      </c>
      <c r="H178" s="441">
        <f t="shared" si="31"/>
        <v>6.7875619343905456</v>
      </c>
      <c r="I178" s="718">
        <f t="shared" si="31"/>
        <v>17.042624463912031</v>
      </c>
      <c r="J178" s="719">
        <f>IF(J169=0,0,J177/J169*100)</f>
        <v>18.478953468785097</v>
      </c>
      <c r="K178" s="140"/>
      <c r="L178" s="441">
        <f t="shared" ref="L178:O178" si="32">IF(L169=0,0,L177/L169*100)</f>
        <v>3.0506300819223746</v>
      </c>
      <c r="M178" s="441">
        <f t="shared" si="32"/>
        <v>3.6292522091561255</v>
      </c>
      <c r="N178" s="441">
        <f t="shared" si="32"/>
        <v>6.7507735203594166</v>
      </c>
      <c r="O178" s="441">
        <f t="shared" si="32"/>
        <v>24.535721280791158</v>
      </c>
    </row>
    <row r="179" spans="1:15" ht="26.25" thickBot="1">
      <c r="B179" s="66" t="s">
        <v>38</v>
      </c>
      <c r="C179" s="67" t="s">
        <v>153</v>
      </c>
      <c r="D179" s="143">
        <f t="shared" ref="D179:D184" si="33">SUM(F179:I179)</f>
        <v>0</v>
      </c>
      <c r="E179" s="144"/>
      <c r="F179" s="144"/>
      <c r="G179" s="145"/>
      <c r="H179" s="145"/>
      <c r="I179" s="146"/>
      <c r="J179" s="143">
        <f t="shared" ref="J179:J184" si="34">SUM(L179:O179)</f>
        <v>0</v>
      </c>
      <c r="K179" s="144"/>
      <c r="L179" s="144"/>
      <c r="M179" s="145"/>
      <c r="N179" s="145"/>
      <c r="O179" s="146"/>
    </row>
    <row r="180" spans="1:15" s="83" customFormat="1" ht="13.5" thickBot="1">
      <c r="B180" s="147" t="s">
        <v>52</v>
      </c>
      <c r="C180" s="148" t="s">
        <v>154</v>
      </c>
      <c r="D180" s="143">
        <f t="shared" si="33"/>
        <v>2514390</v>
      </c>
      <c r="E180" s="144"/>
      <c r="F180" s="682">
        <f>F143+E143</f>
        <v>812110</v>
      </c>
      <c r="G180" s="682">
        <f>G143+G194</f>
        <v>40950</v>
      </c>
      <c r="H180" s="682">
        <f>H143+H194</f>
        <v>618730</v>
      </c>
      <c r="I180" s="741">
        <f>I143+I194</f>
        <v>1042600</v>
      </c>
      <c r="J180" s="143">
        <f t="shared" si="34"/>
        <v>2275784.7990000006</v>
      </c>
      <c r="K180" s="144"/>
      <c r="L180" s="682">
        <f>L143+K143</f>
        <v>785047.17400000012</v>
      </c>
      <c r="M180" s="682">
        <f>M143+M194</f>
        <v>19497.599000000002</v>
      </c>
      <c r="N180" s="682">
        <f>N143+N194</f>
        <v>565012.07799999998</v>
      </c>
      <c r="O180" s="683">
        <f>O143+O194</f>
        <v>906227.94800000009</v>
      </c>
    </row>
    <row r="181" spans="1:15" ht="12.75">
      <c r="B181" s="70" t="s">
        <v>54</v>
      </c>
      <c r="C181" s="71" t="s">
        <v>155</v>
      </c>
      <c r="D181" s="151">
        <f t="shared" si="33"/>
        <v>0</v>
      </c>
      <c r="E181" s="152"/>
      <c r="F181" s="152"/>
      <c r="G181" s="153"/>
      <c r="H181" s="153"/>
      <c r="I181" s="154"/>
      <c r="J181" s="151">
        <f t="shared" si="34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3"/>
        <v>0</v>
      </c>
      <c r="E182" s="158"/>
      <c r="F182" s="159"/>
      <c r="G182" s="159"/>
      <c r="H182" s="159"/>
      <c r="I182" s="160"/>
      <c r="J182" s="157">
        <f t="shared" si="34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3"/>
        <v>0</v>
      </c>
      <c r="E183" s="164"/>
      <c r="F183" s="164"/>
      <c r="G183" s="165"/>
      <c r="H183" s="165"/>
      <c r="I183" s="166"/>
      <c r="J183" s="163">
        <f t="shared" si="34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3"/>
        <v>0</v>
      </c>
      <c r="E184" s="111"/>
      <c r="F184" s="111"/>
      <c r="G184" s="112"/>
      <c r="H184" s="112"/>
      <c r="I184" s="113"/>
      <c r="J184" s="110">
        <f t="shared" si="34"/>
        <v>0</v>
      </c>
      <c r="K184" s="111"/>
      <c r="L184" s="111"/>
      <c r="M184" s="112"/>
      <c r="N184" s="112"/>
      <c r="O184" s="113"/>
    </row>
    <row r="185" spans="1:15" ht="12.75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8" spans="1:15" ht="12.75" customHeight="1">
      <c r="A188" s="832" t="s">
        <v>211</v>
      </c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523"/>
      <c r="B194" s="524"/>
      <c r="C194" s="523" t="s">
        <v>193</v>
      </c>
      <c r="D194" s="523"/>
      <c r="E194" s="523"/>
      <c r="F194" s="523"/>
      <c r="G194" s="528">
        <f>'1 квартал'!G194+'2 квартал'!G194+'3 квартал'!G194</f>
        <v>2069.8000000000002</v>
      </c>
      <c r="H194" s="528">
        <f>'1 квартал'!H194+'2 квартал'!H194+'3 квартал'!H194</f>
        <v>10567.5</v>
      </c>
      <c r="I194" s="528">
        <f>'1 квартал'!I194+'2 квартал'!I194+'3 квартал'!I194</f>
        <v>8861.5</v>
      </c>
      <c r="J194" s="523"/>
      <c r="K194" s="523"/>
      <c r="L194" s="523"/>
      <c r="M194" s="523"/>
      <c r="N194" s="528">
        <f>'1 квартал'!N194+'2 квартал'!N194+'3 квартал'!N194</f>
        <v>7833.2869999999994</v>
      </c>
      <c r="O194" s="528">
        <f>'1 квартал'!O194+'2 квартал'!O194+'3 квартал'!O194</f>
        <v>10695.788</v>
      </c>
    </row>
    <row r="195" spans="1:15">
      <c r="A195" s="523"/>
      <c r="B195" s="524"/>
      <c r="C195" s="523" t="s">
        <v>196</v>
      </c>
      <c r="D195" s="523"/>
      <c r="E195" s="523"/>
      <c r="F195" s="528">
        <f>'1 квартал'!F195+'2 квартал'!F195+'3 квартал'!F195</f>
        <v>104456.50236010064</v>
      </c>
      <c r="G195" s="523"/>
      <c r="H195" s="523"/>
      <c r="I195" s="523"/>
      <c r="J195" s="523"/>
      <c r="K195" s="523"/>
      <c r="L195" s="528">
        <f>'1 квартал'!L195+'2 квартал'!L195+'3 квартал'!L195</f>
        <v>98060.466</v>
      </c>
      <c r="M195" s="523"/>
      <c r="N195" s="523"/>
      <c r="O195" s="523"/>
    </row>
    <row r="198" spans="1:15">
      <c r="L198" s="321"/>
      <c r="M198" s="321"/>
      <c r="N198" s="321"/>
      <c r="O198" s="321"/>
    </row>
    <row r="199" spans="1:15">
      <c r="L199" s="321"/>
      <c r="M199" s="321"/>
      <c r="N199" s="321"/>
      <c r="O199" s="321"/>
    </row>
  </sheetData>
  <mergeCells count="25">
    <mergeCell ref="A188:O188"/>
    <mergeCell ref="D166:I166"/>
    <mergeCell ref="J166:O166"/>
    <mergeCell ref="A46:A150"/>
    <mergeCell ref="A151:A163"/>
    <mergeCell ref="B166:B167"/>
    <mergeCell ref="C166:C167"/>
    <mergeCell ref="A6:A29"/>
    <mergeCell ref="A30:A43"/>
    <mergeCell ref="I4:I5"/>
    <mergeCell ref="J4:J5"/>
    <mergeCell ref="K4:L4"/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</mergeCells>
  <phoneticPr fontId="0" type="noConversion"/>
  <pageMargins left="0.86614173228346458" right="0.27559055118110237" top="0.55118110236220474" bottom="0.35433070866141736" header="0.51181102362204722" footer="0.51181102362204722"/>
  <pageSetup paperSize="9" scale="63" firstPageNumber="0" orientation="landscape" horizontalDpi="300" verticalDpi="300" r:id="rId1"/>
  <headerFooter alignWithMargins="0"/>
  <rowBreaks count="2" manualBreakCount="2">
    <brk id="64" max="14" man="1"/>
    <brk id="12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8"/>
  <sheetViews>
    <sheetView view="pageBreakPreview" zoomScale="90" zoomScaleSheetLayoutView="90" workbookViewId="0">
      <pane xSplit="3" ySplit="5" topLeftCell="D122" activePane="bottomRight" state="frozen"/>
      <selection pane="topRight" activeCell="D1" sqref="D1"/>
      <selection pane="bottomLeft" activeCell="A63" sqref="A63"/>
      <selection pane="bottomRight" activeCell="L151" activeCellId="2" sqref="L44:O44 L46:O46 L151:O151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" style="1" customWidth="1"/>
    <col min="6" max="6" width="11.85546875" style="1" customWidth="1"/>
    <col min="7" max="7" width="11.140625" style="1" customWidth="1"/>
    <col min="8" max="8" width="10.5703125" style="1" customWidth="1"/>
    <col min="9" max="10" width="11.85546875" style="1" customWidth="1"/>
    <col min="11" max="11" width="11.140625" style="1" customWidth="1"/>
    <col min="12" max="12" width="11.28515625" style="1" customWidth="1"/>
    <col min="13" max="14" width="10.28515625" style="1" customWidth="1"/>
    <col min="15" max="15" width="12.140625" style="1" customWidth="1"/>
    <col min="16" max="16" width="17.5703125" style="1" customWidth="1"/>
    <col min="17" max="16384" width="9.140625" style="1"/>
  </cols>
  <sheetData>
    <row r="1" spans="1:15" ht="15.75">
      <c r="A1" s="817" t="s">
        <v>213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" customHeight="1" thickBot="1">
      <c r="A3" s="856"/>
      <c r="B3" s="857" t="s">
        <v>0</v>
      </c>
      <c r="C3" s="858" t="s">
        <v>1</v>
      </c>
      <c r="D3" s="824" t="s">
        <v>2</v>
      </c>
      <c r="E3" s="825"/>
      <c r="F3" s="825"/>
      <c r="G3" s="825"/>
      <c r="H3" s="825"/>
      <c r="I3" s="826"/>
      <c r="J3" s="827" t="s">
        <v>3</v>
      </c>
      <c r="K3" s="828"/>
      <c r="L3" s="828"/>
      <c r="M3" s="828"/>
      <c r="N3" s="828"/>
      <c r="O3" s="829"/>
    </row>
    <row r="4" spans="1:15" s="3" customFormat="1" ht="12.75" customHeight="1" thickTop="1" thickBot="1">
      <c r="A4" s="856"/>
      <c r="B4" s="857"/>
      <c r="C4" s="858"/>
      <c r="D4" s="830" t="s">
        <v>4</v>
      </c>
      <c r="E4" s="835" t="s">
        <v>5</v>
      </c>
      <c r="F4" s="835"/>
      <c r="G4" s="835" t="s">
        <v>6</v>
      </c>
      <c r="H4" s="835" t="s">
        <v>7</v>
      </c>
      <c r="I4" s="820" t="s">
        <v>8</v>
      </c>
      <c r="J4" s="831" t="s">
        <v>4</v>
      </c>
      <c r="K4" s="833" t="s">
        <v>5</v>
      </c>
      <c r="L4" s="834"/>
      <c r="M4" s="818" t="s">
        <v>6</v>
      </c>
      <c r="N4" s="818" t="s">
        <v>7</v>
      </c>
      <c r="O4" s="820" t="s">
        <v>8</v>
      </c>
    </row>
    <row r="5" spans="1:15" s="6" customFormat="1" ht="13.5" thickTop="1" thickBot="1">
      <c r="A5" s="856"/>
      <c r="B5" s="857"/>
      <c r="C5" s="858"/>
      <c r="D5" s="831"/>
      <c r="E5" s="86">
        <v>220</v>
      </c>
      <c r="F5" s="86">
        <v>110</v>
      </c>
      <c r="G5" s="818"/>
      <c r="H5" s="818"/>
      <c r="I5" s="846"/>
      <c r="J5" s="845"/>
      <c r="K5" s="87">
        <v>220</v>
      </c>
      <c r="L5" s="684">
        <v>110</v>
      </c>
      <c r="M5" s="819"/>
      <c r="N5" s="819"/>
      <c r="O5" s="821"/>
    </row>
    <row r="6" spans="1:15" ht="13.5" thickTop="1" thickBot="1">
      <c r="A6" s="852" t="s">
        <v>9</v>
      </c>
      <c r="B6" s="7" t="s">
        <v>10</v>
      </c>
      <c r="C6" s="7" t="s">
        <v>11</v>
      </c>
      <c r="D6" s="352">
        <f t="shared" ref="D6:I6" si="0">SUM(D7:D9,D12,D14)</f>
        <v>502100</v>
      </c>
      <c r="E6" s="353">
        <f t="shared" si="0"/>
        <v>0</v>
      </c>
      <c r="F6" s="353">
        <f t="shared" si="0"/>
        <v>396410</v>
      </c>
      <c r="G6" s="353">
        <f t="shared" si="0"/>
        <v>61440</v>
      </c>
      <c r="H6" s="353">
        <f t="shared" si="0"/>
        <v>44240</v>
      </c>
      <c r="I6" s="353">
        <f t="shared" si="0"/>
        <v>10</v>
      </c>
      <c r="J6" s="244">
        <f t="shared" ref="J6:O6" si="1">SUM(J7:J9,J12,J14)</f>
        <v>448535.13300000003</v>
      </c>
      <c r="K6" s="245">
        <f t="shared" si="1"/>
        <v>0</v>
      </c>
      <c r="L6" s="245">
        <f t="shared" si="1"/>
        <v>370029.40300000005</v>
      </c>
      <c r="M6" s="245">
        <f t="shared" si="1"/>
        <v>43022.464999999997</v>
      </c>
      <c r="N6" s="245">
        <f t="shared" si="1"/>
        <v>35476.118999999999</v>
      </c>
      <c r="O6" s="245">
        <f t="shared" si="1"/>
        <v>7.1459999999999999</v>
      </c>
    </row>
    <row r="7" spans="1:15" ht="13.5" thickTop="1" thickBot="1">
      <c r="A7" s="852"/>
      <c r="B7" s="406" t="s">
        <v>12</v>
      </c>
      <c r="C7" s="486" t="s">
        <v>13</v>
      </c>
      <c r="D7" s="354">
        <f>SUM(E7:I7)</f>
        <v>0</v>
      </c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247">
        <f>SUM(K7:O7)</f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</row>
    <row r="8" spans="1:15" ht="13.5" thickTop="1" thickBot="1">
      <c r="A8" s="852"/>
      <c r="B8" s="406" t="s">
        <v>14</v>
      </c>
      <c r="C8" s="486" t="s">
        <v>15</v>
      </c>
      <c r="D8" s="354">
        <f>SUM(E8:I8)</f>
        <v>246870</v>
      </c>
      <c r="E8" s="356"/>
      <c r="F8" s="356">
        <v>186590</v>
      </c>
      <c r="G8" s="356">
        <v>19580</v>
      </c>
      <c r="H8" s="356">
        <v>40690</v>
      </c>
      <c r="I8" s="356">
        <v>10</v>
      </c>
      <c r="J8" s="247">
        <f>SUM(K8:O8)</f>
        <v>189568.86200000002</v>
      </c>
      <c r="K8" s="333"/>
      <c r="L8" s="333">
        <v>142616.76</v>
      </c>
      <c r="M8" s="333">
        <v>14342.835999999999</v>
      </c>
      <c r="N8" s="333">
        <v>32602.12</v>
      </c>
      <c r="O8" s="333">
        <v>7.1459999999999999</v>
      </c>
    </row>
    <row r="9" spans="1:15" ht="13.5" thickTop="1" thickBot="1">
      <c r="A9" s="852"/>
      <c r="B9" s="406" t="s">
        <v>16</v>
      </c>
      <c r="C9" s="486" t="s">
        <v>17</v>
      </c>
      <c r="D9" s="354">
        <f t="shared" ref="D9:I9" si="2">SUM(D10:D11)</f>
        <v>17900</v>
      </c>
      <c r="E9" s="355">
        <f t="shared" si="2"/>
        <v>0</v>
      </c>
      <c r="F9" s="355">
        <f t="shared" si="2"/>
        <v>17900</v>
      </c>
      <c r="G9" s="355">
        <f t="shared" si="2"/>
        <v>0</v>
      </c>
      <c r="H9" s="355">
        <f t="shared" si="2"/>
        <v>0</v>
      </c>
      <c r="I9" s="355">
        <f t="shared" si="2"/>
        <v>0</v>
      </c>
      <c r="J9" s="247">
        <f t="shared" ref="J9:O9" si="3">SUM(J10:J11)</f>
        <v>13504.216</v>
      </c>
      <c r="K9" s="248">
        <f t="shared" si="3"/>
        <v>0</v>
      </c>
      <c r="L9" s="248">
        <f t="shared" si="3"/>
        <v>13504.216</v>
      </c>
      <c r="M9" s="248">
        <f t="shared" si="3"/>
        <v>0</v>
      </c>
      <c r="N9" s="248">
        <f t="shared" si="3"/>
        <v>0</v>
      </c>
      <c r="O9" s="248">
        <f t="shared" si="3"/>
        <v>0</v>
      </c>
    </row>
    <row r="10" spans="1:15" ht="13.5" thickTop="1" thickBot="1">
      <c r="A10" s="852"/>
      <c r="B10" s="412" t="s">
        <v>18</v>
      </c>
      <c r="C10" s="487" t="s">
        <v>192</v>
      </c>
      <c r="D10" s="357">
        <f>SUM(F10:I10)</f>
        <v>16550</v>
      </c>
      <c r="E10" s="358"/>
      <c r="F10" s="360">
        <v>16550</v>
      </c>
      <c r="G10" s="358"/>
      <c r="H10" s="358"/>
      <c r="I10" s="358"/>
      <c r="J10" s="251">
        <f>SUM(L10:O10)</f>
        <v>12837.616</v>
      </c>
      <c r="K10" s="252"/>
      <c r="L10" s="289">
        <v>12837.616</v>
      </c>
      <c r="M10" s="252"/>
      <c r="N10" s="252"/>
      <c r="O10" s="252"/>
    </row>
    <row r="11" spans="1:15" ht="13.5" thickTop="1" thickBot="1">
      <c r="A11" s="852"/>
      <c r="B11" s="412" t="s">
        <v>19</v>
      </c>
      <c r="C11" s="487" t="s">
        <v>191</v>
      </c>
      <c r="D11" s="357">
        <f>SUM(F11:I11)</f>
        <v>1350</v>
      </c>
      <c r="E11" s="358"/>
      <c r="F11" s="360">
        <v>1350</v>
      </c>
      <c r="G11" s="358"/>
      <c r="H11" s="358"/>
      <c r="I11" s="358"/>
      <c r="J11" s="251">
        <f>SUM(L11:O11)</f>
        <v>666.6</v>
      </c>
      <c r="K11" s="252"/>
      <c r="L11" s="289">
        <v>666.6</v>
      </c>
      <c r="M11" s="252"/>
      <c r="N11" s="252"/>
      <c r="O11" s="252"/>
    </row>
    <row r="12" spans="1:15" ht="13.5" thickTop="1" thickBot="1">
      <c r="A12" s="852"/>
      <c r="B12" s="406" t="s">
        <v>20</v>
      </c>
      <c r="C12" s="486" t="s">
        <v>21</v>
      </c>
      <c r="D12" s="354">
        <f>SUM(E12:I12)</f>
        <v>233830</v>
      </c>
      <c r="E12" s="355"/>
      <c r="F12" s="356">
        <v>191920</v>
      </c>
      <c r="G12" s="356">
        <v>38360</v>
      </c>
      <c r="H12" s="356">
        <v>3550</v>
      </c>
      <c r="I12" s="355"/>
      <c r="J12" s="247">
        <f>SUM(K12:O12)</f>
        <v>245272.45500000002</v>
      </c>
      <c r="K12" s="248"/>
      <c r="L12" s="333">
        <v>213908.427</v>
      </c>
      <c r="M12" s="333">
        <v>28490.028999999999</v>
      </c>
      <c r="N12" s="333">
        <v>2873.9989999999998</v>
      </c>
      <c r="O12" s="248"/>
    </row>
    <row r="13" spans="1:15" ht="13.5" thickTop="1" thickBot="1">
      <c r="A13" s="852"/>
      <c r="B13" s="412" t="s">
        <v>22</v>
      </c>
      <c r="C13" s="487" t="s">
        <v>23</v>
      </c>
      <c r="D13" s="354">
        <f>SUM(E13:I13)</f>
        <v>3550</v>
      </c>
      <c r="E13" s="355"/>
      <c r="F13" s="358"/>
      <c r="G13" s="358"/>
      <c r="H13" s="358">
        <f>H12</f>
        <v>3550</v>
      </c>
      <c r="I13" s="358"/>
      <c r="J13" s="247">
        <f>SUM(K13:O13)</f>
        <v>0</v>
      </c>
      <c r="K13" s="248"/>
      <c r="L13" s="252"/>
      <c r="M13" s="252"/>
      <c r="N13" s="252"/>
      <c r="O13" s="252"/>
    </row>
    <row r="14" spans="1:15" ht="13.5" thickTop="1" thickBot="1">
      <c r="A14" s="852"/>
      <c r="B14" s="406" t="s">
        <v>24</v>
      </c>
      <c r="C14" s="486" t="s">
        <v>25</v>
      </c>
      <c r="D14" s="354">
        <f>SUM(E14:I14)</f>
        <v>3500</v>
      </c>
      <c r="E14" s="355"/>
      <c r="F14" s="355"/>
      <c r="G14" s="356">
        <v>3500</v>
      </c>
      <c r="H14" s="355"/>
      <c r="I14" s="355"/>
      <c r="J14" s="247">
        <f>SUM(K14:O14)</f>
        <v>189.6</v>
      </c>
      <c r="K14" s="248"/>
      <c r="L14" s="248"/>
      <c r="M14" s="333">
        <v>189.6</v>
      </c>
      <c r="N14" s="248"/>
      <c r="O14" s="248"/>
    </row>
    <row r="15" spans="1:15" ht="13.5" thickTop="1" thickBot="1">
      <c r="A15" s="852"/>
      <c r="B15" s="15" t="s">
        <v>26</v>
      </c>
      <c r="C15" s="488" t="s">
        <v>27</v>
      </c>
      <c r="D15" s="352">
        <f t="shared" ref="D15:I15" si="4">SUM(D16:D18,D21)</f>
        <v>121100</v>
      </c>
      <c r="E15" s="359">
        <f t="shared" si="4"/>
        <v>0</v>
      </c>
      <c r="F15" s="359">
        <f t="shared" si="4"/>
        <v>120620</v>
      </c>
      <c r="G15" s="359">
        <f t="shared" si="4"/>
        <v>380</v>
      </c>
      <c r="H15" s="359">
        <f t="shared" si="4"/>
        <v>40</v>
      </c>
      <c r="I15" s="359">
        <f t="shared" si="4"/>
        <v>60</v>
      </c>
      <c r="J15" s="244">
        <f t="shared" ref="J15:O15" si="5">SUM(J16:J18,J21)</f>
        <v>106021.87999999999</v>
      </c>
      <c r="K15" s="253">
        <f t="shared" si="5"/>
        <v>0</v>
      </c>
      <c r="L15" s="253">
        <f t="shared" si="5"/>
        <v>105725.18</v>
      </c>
      <c r="M15" s="253">
        <f t="shared" si="5"/>
        <v>213.97399999999999</v>
      </c>
      <c r="N15" s="253">
        <f t="shared" si="5"/>
        <v>43.249000000000002</v>
      </c>
      <c r="O15" s="253">
        <f t="shared" si="5"/>
        <v>39.476999999999997</v>
      </c>
    </row>
    <row r="16" spans="1:15" ht="13.5" thickTop="1" thickBot="1">
      <c r="A16" s="852"/>
      <c r="B16" s="406" t="s">
        <v>28</v>
      </c>
      <c r="C16" s="486" t="s">
        <v>29</v>
      </c>
      <c r="D16" s="354">
        <f>SUM(E16:I16)</f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247">
        <f>SUM(K16:O16)</f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</row>
    <row r="17" spans="1:15" ht="13.5" thickTop="1" thickBot="1">
      <c r="A17" s="852"/>
      <c r="B17" s="406" t="s">
        <v>30</v>
      </c>
      <c r="C17" s="486" t="s">
        <v>31</v>
      </c>
      <c r="D17" s="354">
        <f>SUM(E17:I17)</f>
        <v>115050</v>
      </c>
      <c r="E17" s="356"/>
      <c r="F17" s="356">
        <v>114950</v>
      </c>
      <c r="G17" s="356">
        <v>0</v>
      </c>
      <c r="H17" s="356">
        <v>40</v>
      </c>
      <c r="I17" s="356">
        <v>60</v>
      </c>
      <c r="J17" s="247">
        <f>SUM(K17:O17)</f>
        <v>102867.056</v>
      </c>
      <c r="K17" s="333">
        <v>0</v>
      </c>
      <c r="L17" s="333">
        <v>102784.33</v>
      </c>
      <c r="M17" s="333">
        <v>0</v>
      </c>
      <c r="N17" s="333">
        <v>43.249000000000002</v>
      </c>
      <c r="O17" s="333">
        <v>39.476999999999997</v>
      </c>
    </row>
    <row r="18" spans="1:15" ht="13.5" thickTop="1" thickBot="1">
      <c r="A18" s="852"/>
      <c r="B18" s="406" t="s">
        <v>32</v>
      </c>
      <c r="C18" s="486" t="s">
        <v>33</v>
      </c>
      <c r="D18" s="354">
        <f t="shared" ref="D18:I18" si="6">SUM(D19:D20)</f>
        <v>2990</v>
      </c>
      <c r="E18" s="355">
        <f t="shared" si="6"/>
        <v>0</v>
      </c>
      <c r="F18" s="355">
        <f t="shared" si="6"/>
        <v>2810</v>
      </c>
      <c r="G18" s="355">
        <f t="shared" si="6"/>
        <v>180</v>
      </c>
      <c r="H18" s="355">
        <f t="shared" si="6"/>
        <v>0</v>
      </c>
      <c r="I18" s="355">
        <f t="shared" si="6"/>
        <v>0</v>
      </c>
      <c r="J18" s="247">
        <f t="shared" ref="J18:O18" si="7">SUM(J19:J20)</f>
        <v>2001.223</v>
      </c>
      <c r="K18" s="248">
        <f t="shared" si="7"/>
        <v>0</v>
      </c>
      <c r="L18" s="248">
        <f t="shared" si="7"/>
        <v>1849.162</v>
      </c>
      <c r="M18" s="248">
        <f t="shared" si="7"/>
        <v>152.06100000000001</v>
      </c>
      <c r="N18" s="248">
        <f t="shared" si="7"/>
        <v>0</v>
      </c>
      <c r="O18" s="248">
        <f t="shared" si="7"/>
        <v>0</v>
      </c>
    </row>
    <row r="19" spans="1:15" ht="13.5" thickTop="1" thickBot="1">
      <c r="A19" s="852"/>
      <c r="B19" s="412" t="s">
        <v>34</v>
      </c>
      <c r="C19" s="487" t="s">
        <v>192</v>
      </c>
      <c r="D19" s="357">
        <f t="shared" ref="D19:D29" si="8">SUM(E19:I19)</f>
        <v>0</v>
      </c>
      <c r="E19" s="358"/>
      <c r="F19" s="360">
        <v>0</v>
      </c>
      <c r="G19" s="358"/>
      <c r="H19" s="358"/>
      <c r="I19" s="358"/>
      <c r="J19" s="251">
        <f t="shared" ref="J19:J29" si="9">SUM(K19:O19)</f>
        <v>1.756</v>
      </c>
      <c r="K19" s="252"/>
      <c r="L19" s="289">
        <v>1.756</v>
      </c>
      <c r="M19" s="252"/>
      <c r="N19" s="252"/>
      <c r="O19" s="252"/>
    </row>
    <row r="20" spans="1:15" ht="13.5" thickTop="1" thickBot="1">
      <c r="A20" s="852"/>
      <c r="B20" s="489" t="s">
        <v>35</v>
      </c>
      <c r="C20" s="487" t="s">
        <v>191</v>
      </c>
      <c r="D20" s="357">
        <f t="shared" si="8"/>
        <v>2990</v>
      </c>
      <c r="E20" s="358"/>
      <c r="F20" s="360">
        <v>2810</v>
      </c>
      <c r="G20" s="360">
        <v>180</v>
      </c>
      <c r="H20" s="358"/>
      <c r="I20" s="358"/>
      <c r="J20" s="251">
        <f t="shared" si="9"/>
        <v>1999.4669999999999</v>
      </c>
      <c r="K20" s="252"/>
      <c r="L20" s="289">
        <v>1847.4059999999999</v>
      </c>
      <c r="M20" s="289">
        <v>152.06100000000001</v>
      </c>
      <c r="N20" s="252"/>
      <c r="O20" s="252"/>
    </row>
    <row r="21" spans="1:15" ht="13.5" thickTop="1" thickBot="1">
      <c r="A21" s="852"/>
      <c r="B21" s="406" t="s">
        <v>36</v>
      </c>
      <c r="C21" s="486" t="s">
        <v>37</v>
      </c>
      <c r="D21" s="354">
        <f t="shared" si="8"/>
        <v>3060</v>
      </c>
      <c r="E21" s="355"/>
      <c r="F21" s="356">
        <v>2860</v>
      </c>
      <c r="G21" s="356">
        <v>200</v>
      </c>
      <c r="H21" s="355">
        <v>0</v>
      </c>
      <c r="I21" s="355"/>
      <c r="J21" s="247">
        <f t="shared" si="9"/>
        <v>1153.6010000000001</v>
      </c>
      <c r="K21" s="248"/>
      <c r="L21" s="333">
        <v>1091.6880000000001</v>
      </c>
      <c r="M21" s="333">
        <v>61.912999999999997</v>
      </c>
      <c r="N21" s="248"/>
      <c r="O21" s="248"/>
    </row>
    <row r="22" spans="1:15" s="17" customFormat="1" ht="13.5" thickTop="1" thickBot="1">
      <c r="A22" s="852"/>
      <c r="B22" s="172" t="s">
        <v>38</v>
      </c>
      <c r="C22" s="490" t="s">
        <v>39</v>
      </c>
      <c r="D22" s="361">
        <f t="shared" si="8"/>
        <v>381000</v>
      </c>
      <c r="E22" s="361">
        <f>SUM(E23:E25,E28,E29)</f>
        <v>0</v>
      </c>
      <c r="F22" s="361">
        <f>SUM(F23:F25,F28,F29)</f>
        <v>275790</v>
      </c>
      <c r="G22" s="361">
        <f>SUM(G23:G25,G28,G29)</f>
        <v>61060</v>
      </c>
      <c r="H22" s="361">
        <f>SUM(H23:H25,H28,H29)</f>
        <v>44200</v>
      </c>
      <c r="I22" s="361">
        <f>SUM(I23:I25,I28,I29)</f>
        <v>-50</v>
      </c>
      <c r="J22" s="469">
        <f t="shared" si="9"/>
        <v>342513.25299999997</v>
      </c>
      <c r="K22" s="256">
        <f>SUM(K23:K25,K28,K29)</f>
        <v>0</v>
      </c>
      <c r="L22" s="256">
        <f>SUM(L23:L25,L28,L29)</f>
        <v>264304.223</v>
      </c>
      <c r="M22" s="256">
        <f>SUM(M23:M25,M28,M29)</f>
        <v>42808.490999999995</v>
      </c>
      <c r="N22" s="256">
        <f>SUM(N23:N25,N28,N29)</f>
        <v>35432.869999999995</v>
      </c>
      <c r="O22" s="256">
        <f>SUM(O23:O25,O28,O29)</f>
        <v>-32.330999999999996</v>
      </c>
    </row>
    <row r="23" spans="1:15" ht="13.5" thickTop="1" thickBot="1">
      <c r="A23" s="852"/>
      <c r="B23" s="406" t="s">
        <v>40</v>
      </c>
      <c r="C23" s="486" t="s">
        <v>41</v>
      </c>
      <c r="D23" s="354">
        <f t="shared" si="8"/>
        <v>0</v>
      </c>
      <c r="E23" s="354">
        <f t="shared" ref="E23:I28" si="10">E7-E16</f>
        <v>0</v>
      </c>
      <c r="F23" s="354">
        <f t="shared" si="10"/>
        <v>0</v>
      </c>
      <c r="G23" s="354">
        <f t="shared" si="10"/>
        <v>0</v>
      </c>
      <c r="H23" s="354">
        <f t="shared" si="10"/>
        <v>0</v>
      </c>
      <c r="I23" s="354">
        <f t="shared" si="10"/>
        <v>0</v>
      </c>
      <c r="J23" s="247">
        <f t="shared" si="9"/>
        <v>0</v>
      </c>
      <c r="K23" s="247">
        <f t="shared" ref="K23:O28" si="11">K7-K16</f>
        <v>0</v>
      </c>
      <c r="L23" s="247">
        <f t="shared" si="11"/>
        <v>0</v>
      </c>
      <c r="M23" s="247">
        <f t="shared" si="11"/>
        <v>0</v>
      </c>
      <c r="N23" s="247">
        <f t="shared" si="11"/>
        <v>0</v>
      </c>
      <c r="O23" s="247">
        <f t="shared" si="11"/>
        <v>0</v>
      </c>
    </row>
    <row r="24" spans="1:15" ht="13.5" thickTop="1" thickBot="1">
      <c r="A24" s="852"/>
      <c r="B24" s="406" t="s">
        <v>42</v>
      </c>
      <c r="C24" s="486" t="s">
        <v>43</v>
      </c>
      <c r="D24" s="354">
        <f t="shared" si="8"/>
        <v>131820</v>
      </c>
      <c r="E24" s="354">
        <f t="shared" si="10"/>
        <v>0</v>
      </c>
      <c r="F24" s="354">
        <f t="shared" si="10"/>
        <v>71640</v>
      </c>
      <c r="G24" s="354">
        <f t="shared" si="10"/>
        <v>19580</v>
      </c>
      <c r="H24" s="354">
        <f t="shared" si="10"/>
        <v>40650</v>
      </c>
      <c r="I24" s="354">
        <f t="shared" si="10"/>
        <v>-50</v>
      </c>
      <c r="J24" s="247">
        <f t="shared" si="9"/>
        <v>86701.805999999997</v>
      </c>
      <c r="K24" s="247">
        <f t="shared" si="11"/>
        <v>0</v>
      </c>
      <c r="L24" s="247">
        <f t="shared" si="11"/>
        <v>39832.430000000008</v>
      </c>
      <c r="M24" s="247">
        <f t="shared" si="11"/>
        <v>14342.835999999999</v>
      </c>
      <c r="N24" s="247">
        <f t="shared" si="11"/>
        <v>32558.870999999999</v>
      </c>
      <c r="O24" s="247">
        <f t="shared" si="11"/>
        <v>-32.330999999999996</v>
      </c>
    </row>
    <row r="25" spans="1:15" ht="13.5" thickTop="1" thickBot="1">
      <c r="A25" s="852"/>
      <c r="B25" s="406" t="s">
        <v>44</v>
      </c>
      <c r="C25" s="486" t="s">
        <v>45</v>
      </c>
      <c r="D25" s="354">
        <f t="shared" si="8"/>
        <v>14910</v>
      </c>
      <c r="E25" s="354">
        <f t="shared" si="10"/>
        <v>0</v>
      </c>
      <c r="F25" s="354">
        <f t="shared" si="10"/>
        <v>15090</v>
      </c>
      <c r="G25" s="354">
        <f t="shared" si="10"/>
        <v>-180</v>
      </c>
      <c r="H25" s="354">
        <f t="shared" si="10"/>
        <v>0</v>
      </c>
      <c r="I25" s="354">
        <f t="shared" si="10"/>
        <v>0</v>
      </c>
      <c r="J25" s="247">
        <f t="shared" si="9"/>
        <v>11502.993</v>
      </c>
      <c r="K25" s="247">
        <f t="shared" si="11"/>
        <v>0</v>
      </c>
      <c r="L25" s="247">
        <f t="shared" si="11"/>
        <v>11655.054</v>
      </c>
      <c r="M25" s="247">
        <f t="shared" si="11"/>
        <v>-152.06100000000001</v>
      </c>
      <c r="N25" s="247">
        <f t="shared" si="11"/>
        <v>0</v>
      </c>
      <c r="O25" s="247">
        <f t="shared" si="11"/>
        <v>0</v>
      </c>
    </row>
    <row r="26" spans="1:15" ht="13.5" thickTop="1" thickBot="1">
      <c r="A26" s="852"/>
      <c r="B26" s="412" t="s">
        <v>46</v>
      </c>
      <c r="C26" s="487" t="s">
        <v>192</v>
      </c>
      <c r="D26" s="354">
        <f t="shared" si="8"/>
        <v>16550</v>
      </c>
      <c r="E26" s="357">
        <f t="shared" si="10"/>
        <v>0</v>
      </c>
      <c r="F26" s="357">
        <f t="shared" si="10"/>
        <v>16550</v>
      </c>
      <c r="G26" s="357">
        <f t="shared" si="10"/>
        <v>0</v>
      </c>
      <c r="H26" s="357">
        <f t="shared" si="10"/>
        <v>0</v>
      </c>
      <c r="I26" s="357">
        <f t="shared" si="10"/>
        <v>0</v>
      </c>
      <c r="J26" s="247">
        <f t="shared" si="9"/>
        <v>12835.86</v>
      </c>
      <c r="K26" s="251">
        <f t="shared" si="11"/>
        <v>0</v>
      </c>
      <c r="L26" s="251">
        <f t="shared" si="11"/>
        <v>12835.86</v>
      </c>
      <c r="M26" s="251">
        <f t="shared" si="11"/>
        <v>0</v>
      </c>
      <c r="N26" s="251">
        <f t="shared" si="11"/>
        <v>0</v>
      </c>
      <c r="O26" s="251">
        <f t="shared" si="11"/>
        <v>0</v>
      </c>
    </row>
    <row r="27" spans="1:15" ht="13.5" thickTop="1" thickBot="1">
      <c r="A27" s="852"/>
      <c r="B27" s="412" t="s">
        <v>47</v>
      </c>
      <c r="C27" s="487" t="s">
        <v>191</v>
      </c>
      <c r="D27" s="354">
        <f t="shared" si="8"/>
        <v>-1640</v>
      </c>
      <c r="E27" s="357">
        <f t="shared" si="10"/>
        <v>0</v>
      </c>
      <c r="F27" s="357">
        <f t="shared" si="10"/>
        <v>-1460</v>
      </c>
      <c r="G27" s="357">
        <f t="shared" si="10"/>
        <v>-180</v>
      </c>
      <c r="H27" s="357">
        <f t="shared" si="10"/>
        <v>0</v>
      </c>
      <c r="I27" s="357">
        <f t="shared" si="10"/>
        <v>0</v>
      </c>
      <c r="J27" s="247">
        <f t="shared" si="9"/>
        <v>-1332.867</v>
      </c>
      <c r="K27" s="251">
        <f t="shared" si="11"/>
        <v>0</v>
      </c>
      <c r="L27" s="251">
        <f t="shared" si="11"/>
        <v>-1180.806</v>
      </c>
      <c r="M27" s="251">
        <f t="shared" si="11"/>
        <v>-152.06100000000001</v>
      </c>
      <c r="N27" s="251">
        <f t="shared" si="11"/>
        <v>0</v>
      </c>
      <c r="O27" s="251">
        <f t="shared" si="11"/>
        <v>0</v>
      </c>
    </row>
    <row r="28" spans="1:15" ht="13.5" thickTop="1" thickBot="1">
      <c r="A28" s="852"/>
      <c r="B28" s="406" t="s">
        <v>48</v>
      </c>
      <c r="C28" s="486" t="s">
        <v>49</v>
      </c>
      <c r="D28" s="354">
        <f t="shared" si="8"/>
        <v>230770</v>
      </c>
      <c r="E28" s="354">
        <f t="shared" si="10"/>
        <v>0</v>
      </c>
      <c r="F28" s="354">
        <f t="shared" si="10"/>
        <v>189060</v>
      </c>
      <c r="G28" s="354">
        <f t="shared" si="10"/>
        <v>38160</v>
      </c>
      <c r="H28" s="354">
        <f t="shared" si="10"/>
        <v>3550</v>
      </c>
      <c r="I28" s="354">
        <f t="shared" si="10"/>
        <v>0</v>
      </c>
      <c r="J28" s="247">
        <f t="shared" si="9"/>
        <v>244118.85400000002</v>
      </c>
      <c r="K28" s="247">
        <f t="shared" si="11"/>
        <v>0</v>
      </c>
      <c r="L28" s="247">
        <f t="shared" si="11"/>
        <v>212816.739</v>
      </c>
      <c r="M28" s="247">
        <f t="shared" si="11"/>
        <v>28428.115999999998</v>
      </c>
      <c r="N28" s="247">
        <f t="shared" si="11"/>
        <v>2873.9989999999998</v>
      </c>
      <c r="O28" s="247">
        <f t="shared" si="11"/>
        <v>0</v>
      </c>
    </row>
    <row r="29" spans="1:15" ht="13.5" thickTop="1" thickBot="1">
      <c r="A29" s="852"/>
      <c r="B29" s="406" t="s">
        <v>50</v>
      </c>
      <c r="C29" s="486" t="s">
        <v>25</v>
      </c>
      <c r="D29" s="354">
        <f t="shared" si="8"/>
        <v>3500</v>
      </c>
      <c r="E29" s="354">
        <f>E14</f>
        <v>0</v>
      </c>
      <c r="F29" s="354">
        <f>F14</f>
        <v>0</v>
      </c>
      <c r="G29" s="354">
        <f>G14</f>
        <v>3500</v>
      </c>
      <c r="H29" s="354">
        <f>H14</f>
        <v>0</v>
      </c>
      <c r="I29" s="354">
        <f>I14</f>
        <v>0</v>
      </c>
      <c r="J29" s="247">
        <f t="shared" si="9"/>
        <v>189.6</v>
      </c>
      <c r="K29" s="247">
        <f>K14</f>
        <v>0</v>
      </c>
      <c r="L29" s="247">
        <f>L14</f>
        <v>0</v>
      </c>
      <c r="M29" s="247">
        <f>M14</f>
        <v>189.6</v>
      </c>
      <c r="N29" s="247">
        <f>N14</f>
        <v>0</v>
      </c>
      <c r="O29" s="247">
        <f>O14</f>
        <v>0</v>
      </c>
    </row>
    <row r="30" spans="1:15" ht="13.5" thickTop="1" thickBot="1">
      <c r="A30" s="852" t="s">
        <v>51</v>
      </c>
      <c r="B30" s="15" t="s">
        <v>52</v>
      </c>
      <c r="C30" s="488" t="s">
        <v>53</v>
      </c>
      <c r="D30" s="362">
        <f>SUM(F30:I30)</f>
        <v>450346</v>
      </c>
      <c r="E30" s="362"/>
      <c r="F30" s="362">
        <f>SUM(F31:F33)</f>
        <v>0</v>
      </c>
      <c r="G30" s="362">
        <f>SUM(G31:G33)</f>
        <v>56676</v>
      </c>
      <c r="H30" s="362">
        <f>SUM(H31:H33)</f>
        <v>238460</v>
      </c>
      <c r="I30" s="362">
        <f>SUM(I31:I33)</f>
        <v>155210</v>
      </c>
      <c r="J30" s="258">
        <f>SUM(L30:O30)</f>
        <v>431196</v>
      </c>
      <c r="K30" s="258"/>
      <c r="L30" s="258">
        <f>SUM(L31:L33)</f>
        <v>0</v>
      </c>
      <c r="M30" s="258">
        <f>SUM(M31:M33)</f>
        <v>55668.171999999999</v>
      </c>
      <c r="N30" s="258">
        <f>SUM(N31:N33)</f>
        <v>219349.228</v>
      </c>
      <c r="O30" s="258">
        <f>SUM(O31:O33)</f>
        <v>156178.6</v>
      </c>
    </row>
    <row r="31" spans="1:15" ht="13.5" thickTop="1" thickBot="1">
      <c r="A31" s="852"/>
      <c r="B31" s="406" t="s">
        <v>54</v>
      </c>
      <c r="C31" s="486" t="s">
        <v>55</v>
      </c>
      <c r="D31" s="354">
        <f t="shared" ref="D31:D43" si="12">SUM(E31:I31)</f>
        <v>188920</v>
      </c>
      <c r="E31" s="363"/>
      <c r="F31" s="364"/>
      <c r="G31" s="354">
        <f>F36</f>
        <v>56676</v>
      </c>
      <c r="H31" s="354">
        <f>F37</f>
        <v>132244</v>
      </c>
      <c r="I31" s="363"/>
      <c r="J31" s="247">
        <f t="shared" ref="J31:J43" si="13">SUM(K31:O31)</f>
        <v>185560.57199999999</v>
      </c>
      <c r="K31" s="259"/>
      <c r="L31" s="260"/>
      <c r="M31" s="247">
        <f>L36</f>
        <v>55668.171999999999</v>
      </c>
      <c r="N31" s="247">
        <f>L37</f>
        <v>129892.4</v>
      </c>
      <c r="O31" s="259"/>
    </row>
    <row r="32" spans="1:15" ht="13.5" thickTop="1" thickBot="1">
      <c r="A32" s="852"/>
      <c r="B32" s="406" t="s">
        <v>56</v>
      </c>
      <c r="C32" s="486" t="s">
        <v>57</v>
      </c>
      <c r="D32" s="354">
        <f t="shared" si="12"/>
        <v>106216</v>
      </c>
      <c r="E32" s="363"/>
      <c r="F32" s="363"/>
      <c r="G32" s="363"/>
      <c r="H32" s="354">
        <f>G37</f>
        <v>106216</v>
      </c>
      <c r="I32" s="364">
        <f>G43</f>
        <v>0</v>
      </c>
      <c r="J32" s="247">
        <f t="shared" si="13"/>
        <v>89456.828000000009</v>
      </c>
      <c r="K32" s="259"/>
      <c r="L32" s="259"/>
      <c r="M32" s="259"/>
      <c r="N32" s="247">
        <f>M37</f>
        <v>89456.828000000009</v>
      </c>
      <c r="O32" s="260">
        <f>M43</f>
        <v>0</v>
      </c>
    </row>
    <row r="33" spans="1:15" ht="13.5" thickTop="1" thickBot="1">
      <c r="A33" s="852"/>
      <c r="B33" s="406" t="s">
        <v>58</v>
      </c>
      <c r="C33" s="486" t="s">
        <v>59</v>
      </c>
      <c r="D33" s="354">
        <f t="shared" si="12"/>
        <v>155210</v>
      </c>
      <c r="E33" s="363"/>
      <c r="F33" s="363"/>
      <c r="G33" s="363"/>
      <c r="H33" s="363"/>
      <c r="I33" s="354">
        <f>G38+H38</f>
        <v>155210</v>
      </c>
      <c r="J33" s="247">
        <f t="shared" si="13"/>
        <v>156178.6</v>
      </c>
      <c r="K33" s="259"/>
      <c r="L33" s="259"/>
      <c r="M33" s="259"/>
      <c r="N33" s="259"/>
      <c r="O33" s="247">
        <f>M38+N38</f>
        <v>156178.6</v>
      </c>
    </row>
    <row r="34" spans="1:15" ht="13.5" thickTop="1" thickBot="1">
      <c r="A34" s="852"/>
      <c r="B34" s="15" t="s">
        <v>60</v>
      </c>
      <c r="C34" s="488" t="s">
        <v>61</v>
      </c>
      <c r="D34" s="362">
        <f t="shared" si="12"/>
        <v>450346</v>
      </c>
      <c r="E34" s="362"/>
      <c r="F34" s="362">
        <f>SUM(F35:F38)</f>
        <v>188920</v>
      </c>
      <c r="G34" s="362">
        <f>SUM(G35:G38)</f>
        <v>106216</v>
      </c>
      <c r="H34" s="362">
        <f>SUM(H35:H38)</f>
        <v>155210</v>
      </c>
      <c r="I34" s="285">
        <f>SUM(I35:I38)</f>
        <v>0</v>
      </c>
      <c r="J34" s="258">
        <f t="shared" si="13"/>
        <v>431196</v>
      </c>
      <c r="K34" s="258"/>
      <c r="L34" s="681">
        <f>SUM(L35:L38)</f>
        <v>185560.57199999999</v>
      </c>
      <c r="M34" s="258">
        <f>SUM(M35:M38)</f>
        <v>89456.828000000009</v>
      </c>
      <c r="N34" s="258">
        <f>SUM(N35:N38)</f>
        <v>156178.6</v>
      </c>
      <c r="O34" s="261">
        <f>SUM(O35:O38)</f>
        <v>0</v>
      </c>
    </row>
    <row r="35" spans="1:15" ht="13.5" thickTop="1" thickBot="1">
      <c r="A35" s="852"/>
      <c r="B35" s="406" t="s">
        <v>62</v>
      </c>
      <c r="C35" s="486" t="s">
        <v>63</v>
      </c>
      <c r="D35" s="354">
        <f t="shared" si="12"/>
        <v>0</v>
      </c>
      <c r="E35" s="364"/>
      <c r="F35" s="363"/>
      <c r="G35" s="363"/>
      <c r="H35" s="363"/>
      <c r="I35" s="363"/>
      <c r="J35" s="247">
        <f t="shared" si="13"/>
        <v>0</v>
      </c>
      <c r="K35" s="260"/>
      <c r="L35" s="259"/>
      <c r="M35" s="259"/>
      <c r="N35" s="259"/>
      <c r="O35" s="259"/>
    </row>
    <row r="36" spans="1:15" ht="13.5" thickTop="1" thickBot="1">
      <c r="A36" s="852"/>
      <c r="B36" s="406" t="s">
        <v>64</v>
      </c>
      <c r="C36" s="486" t="s">
        <v>65</v>
      </c>
      <c r="D36" s="354">
        <f t="shared" si="12"/>
        <v>56676</v>
      </c>
      <c r="E36" s="354"/>
      <c r="F36" s="333">
        <v>56676</v>
      </c>
      <c r="G36" s="259"/>
      <c r="H36" s="259"/>
      <c r="I36" s="363"/>
      <c r="J36" s="247">
        <f t="shared" si="13"/>
        <v>55668.171999999999</v>
      </c>
      <c r="K36" s="247"/>
      <c r="L36" s="333">
        <v>55668.171999999999</v>
      </c>
      <c r="M36" s="259"/>
      <c r="N36" s="259"/>
      <c r="O36" s="259"/>
    </row>
    <row r="37" spans="1:15" ht="13.5" thickTop="1" thickBot="1">
      <c r="A37" s="852"/>
      <c r="B37" s="406" t="s">
        <v>66</v>
      </c>
      <c r="C37" s="486" t="s">
        <v>67</v>
      </c>
      <c r="D37" s="354">
        <f t="shared" si="12"/>
        <v>238460</v>
      </c>
      <c r="E37" s="354"/>
      <c r="F37" s="333">
        <v>132244</v>
      </c>
      <c r="G37" s="333">
        <v>106216</v>
      </c>
      <c r="H37" s="259"/>
      <c r="I37" s="363"/>
      <c r="J37" s="247">
        <f t="shared" si="13"/>
        <v>219349.228</v>
      </c>
      <c r="K37" s="247"/>
      <c r="L37" s="333">
        <v>129892.4</v>
      </c>
      <c r="M37" s="333">
        <v>89456.828000000009</v>
      </c>
      <c r="N37" s="259"/>
      <c r="O37" s="259"/>
    </row>
    <row r="38" spans="1:15" ht="13.5" thickTop="1" thickBot="1">
      <c r="A38" s="852"/>
      <c r="B38" s="406" t="s">
        <v>68</v>
      </c>
      <c r="C38" s="486" t="s">
        <v>69</v>
      </c>
      <c r="D38" s="354">
        <f t="shared" si="12"/>
        <v>155210</v>
      </c>
      <c r="E38" s="363"/>
      <c r="F38" s="259"/>
      <c r="G38" s="260"/>
      <c r="H38" s="333">
        <v>155210</v>
      </c>
      <c r="I38" s="363"/>
      <c r="J38" s="247">
        <f t="shared" si="13"/>
        <v>156178.6</v>
      </c>
      <c r="K38" s="259"/>
      <c r="L38" s="259"/>
      <c r="M38" s="260"/>
      <c r="N38" s="333">
        <v>156178.6</v>
      </c>
      <c r="O38" s="259"/>
    </row>
    <row r="39" spans="1:15" s="17" customFormat="1" ht="13.5" thickTop="1" thickBot="1">
      <c r="A39" s="852"/>
      <c r="B39" s="172" t="s">
        <v>70</v>
      </c>
      <c r="C39" s="490" t="s">
        <v>71</v>
      </c>
      <c r="D39" s="365">
        <f t="shared" si="12"/>
        <v>0</v>
      </c>
      <c r="E39" s="365"/>
      <c r="F39" s="365">
        <f>SUM(F40:F43)</f>
        <v>-188920</v>
      </c>
      <c r="G39" s="365">
        <f>SUM(G40:G43)</f>
        <v>-49540</v>
      </c>
      <c r="H39" s="365">
        <f>SUM(H40:H43)</f>
        <v>83250</v>
      </c>
      <c r="I39" s="365">
        <f>SUM(I40:I43)</f>
        <v>155210</v>
      </c>
      <c r="J39" s="262">
        <f t="shared" si="13"/>
        <v>0</v>
      </c>
      <c r="K39" s="262"/>
      <c r="L39" s="680">
        <f>SUM(L40:L43)</f>
        <v>-185560.57199999999</v>
      </c>
      <c r="M39" s="262">
        <f>SUM(M40:M43)</f>
        <v>-33788.65600000001</v>
      </c>
      <c r="N39" s="262">
        <f>SUM(N40:N43)</f>
        <v>63170.627999999997</v>
      </c>
      <c r="O39" s="262">
        <f>SUM(O40:O43)</f>
        <v>156178.6</v>
      </c>
    </row>
    <row r="40" spans="1:15" ht="13.5" thickTop="1" thickBot="1">
      <c r="A40" s="852"/>
      <c r="B40" s="406" t="s">
        <v>72</v>
      </c>
      <c r="C40" s="486" t="s">
        <v>5</v>
      </c>
      <c r="D40" s="366">
        <f t="shared" si="12"/>
        <v>188920</v>
      </c>
      <c r="E40" s="367"/>
      <c r="F40" s="367">
        <f>F31-F35</f>
        <v>0</v>
      </c>
      <c r="G40" s="367">
        <f>G31-G35</f>
        <v>56676</v>
      </c>
      <c r="H40" s="367">
        <f>H31-H35</f>
        <v>132244</v>
      </c>
      <c r="I40" s="368"/>
      <c r="J40" s="264">
        <f t="shared" si="13"/>
        <v>185560.57199999999</v>
      </c>
      <c r="K40" s="265"/>
      <c r="L40" s="265">
        <f>L31-L35</f>
        <v>0</v>
      </c>
      <c r="M40" s="265">
        <f>M31-M35</f>
        <v>55668.171999999999</v>
      </c>
      <c r="N40" s="265">
        <f>N31-N35</f>
        <v>129892.4</v>
      </c>
      <c r="O40" s="266"/>
    </row>
    <row r="41" spans="1:15" ht="13.5" thickTop="1" thickBot="1">
      <c r="A41" s="852"/>
      <c r="B41" s="406" t="s">
        <v>73</v>
      </c>
      <c r="C41" s="486" t="s">
        <v>74</v>
      </c>
      <c r="D41" s="366">
        <f t="shared" si="12"/>
        <v>49540</v>
      </c>
      <c r="E41" s="367">
        <f>E32-E36</f>
        <v>0</v>
      </c>
      <c r="F41" s="367">
        <f>F32-F36</f>
        <v>-56676</v>
      </c>
      <c r="G41" s="368"/>
      <c r="H41" s="367">
        <f>H32-H36</f>
        <v>106216</v>
      </c>
      <c r="I41" s="368"/>
      <c r="J41" s="264">
        <f t="shared" si="13"/>
        <v>33788.65600000001</v>
      </c>
      <c r="K41" s="265">
        <f>K32-K36</f>
        <v>0</v>
      </c>
      <c r="L41" s="265">
        <f>L32-L36</f>
        <v>-55668.171999999999</v>
      </c>
      <c r="M41" s="266"/>
      <c r="N41" s="265">
        <f>N32-N36</f>
        <v>89456.828000000009</v>
      </c>
      <c r="O41" s="266"/>
    </row>
    <row r="42" spans="1:15" ht="13.5" thickTop="1" thickBot="1">
      <c r="A42" s="852"/>
      <c r="B42" s="406" t="s">
        <v>75</v>
      </c>
      <c r="C42" s="486" t="s">
        <v>76</v>
      </c>
      <c r="D42" s="366">
        <f t="shared" si="12"/>
        <v>-83250</v>
      </c>
      <c r="E42" s="367">
        <f>E33-E37</f>
        <v>0</v>
      </c>
      <c r="F42" s="367">
        <f>F33-F37</f>
        <v>-132244</v>
      </c>
      <c r="G42" s="367">
        <f>G33-G37</f>
        <v>-106216</v>
      </c>
      <c r="H42" s="368"/>
      <c r="I42" s="367">
        <f>I33-I37</f>
        <v>155210</v>
      </c>
      <c r="J42" s="264">
        <f t="shared" si="13"/>
        <v>-63170.627999999997</v>
      </c>
      <c r="K42" s="265">
        <f>K33-K37</f>
        <v>0</v>
      </c>
      <c r="L42" s="265">
        <f>L33-L37</f>
        <v>-129892.4</v>
      </c>
      <c r="M42" s="265">
        <f>M33-M37</f>
        <v>-89456.828000000009</v>
      </c>
      <c r="N42" s="266"/>
      <c r="O42" s="265">
        <f>O33-O37</f>
        <v>156178.6</v>
      </c>
    </row>
    <row r="43" spans="1:15" ht="13.5" thickTop="1" thickBot="1">
      <c r="A43" s="852"/>
      <c r="B43" s="491" t="s">
        <v>77</v>
      </c>
      <c r="C43" s="492" t="s">
        <v>8</v>
      </c>
      <c r="D43" s="367">
        <f t="shared" si="12"/>
        <v>-155210</v>
      </c>
      <c r="E43" s="368"/>
      <c r="F43" s="368"/>
      <c r="G43" s="367"/>
      <c r="H43" s="367">
        <f>-H38</f>
        <v>-155210</v>
      </c>
      <c r="I43" s="368"/>
      <c r="J43" s="265">
        <f t="shared" si="13"/>
        <v>-156178.6</v>
      </c>
      <c r="K43" s="266"/>
      <c r="L43" s="266"/>
      <c r="M43" s="265"/>
      <c r="N43" s="265">
        <f>-N38</f>
        <v>-156178.6</v>
      </c>
      <c r="O43" s="266"/>
    </row>
    <row r="44" spans="1:15" ht="13.5" thickTop="1" thickBot="1">
      <c r="A44" s="21"/>
      <c r="B44" s="493" t="s">
        <v>78</v>
      </c>
      <c r="C44" s="494" t="s">
        <v>79</v>
      </c>
      <c r="D44" s="201">
        <f>D22</f>
        <v>381000</v>
      </c>
      <c r="E44" s="201">
        <f>E22+E30</f>
        <v>0</v>
      </c>
      <c r="F44" s="201">
        <f>F22+F30</f>
        <v>275790</v>
      </c>
      <c r="G44" s="201">
        <f>G22+G30</f>
        <v>117736</v>
      </c>
      <c r="H44" s="201">
        <f>H22+H30</f>
        <v>282660</v>
      </c>
      <c r="I44" s="201">
        <f>I22+I30</f>
        <v>155160</v>
      </c>
      <c r="J44" s="201">
        <f>J22</f>
        <v>342513.25299999997</v>
      </c>
      <c r="K44" s="201">
        <f>K22+K30</f>
        <v>0</v>
      </c>
      <c r="L44" s="201">
        <f>L22+L30</f>
        <v>264304.223</v>
      </c>
      <c r="M44" s="201">
        <f>M22+M30</f>
        <v>98476.663</v>
      </c>
      <c r="N44" s="201">
        <f>N22+N30</f>
        <v>254782.098</v>
      </c>
      <c r="O44" s="201">
        <f>O22+O30</f>
        <v>156146.269</v>
      </c>
    </row>
    <row r="45" spans="1:15" ht="13.5" thickTop="1" thickBot="1">
      <c r="A45" s="21"/>
      <c r="B45" s="495" t="s">
        <v>80</v>
      </c>
      <c r="C45" s="496" t="s">
        <v>81</v>
      </c>
      <c r="D45" s="203">
        <f>D44</f>
        <v>381000</v>
      </c>
      <c r="E45" s="203">
        <f>E143+E151+E34</f>
        <v>0</v>
      </c>
      <c r="F45" s="203">
        <f>F143+F151+F34-G49-H49-G73-H73-G78-H78-H54-H97-H109-G97-G102-H102-G109-G114-H114-G121-H121-G126-H126-G133-H133</f>
        <v>275790</v>
      </c>
      <c r="G45" s="203">
        <f>G143+G151+G34-H50-I50-H55-I55-H62-I62-H67-I67-H98-H74-H79-H86-H91-H103-H110-H115-H122-H127-H134</f>
        <v>113195.2</v>
      </c>
      <c r="H45" s="203">
        <f>H143+H151+H34-I51-I56-I63-I68-I75-I80-I87-I92-I99-I104-I111-I116-I123-I128</f>
        <v>258189.8</v>
      </c>
      <c r="I45" s="203">
        <f>I151+I143</f>
        <v>153641.79999999999</v>
      </c>
      <c r="J45" s="203">
        <f>J44</f>
        <v>342513.25299999997</v>
      </c>
      <c r="K45" s="203">
        <f>K143+K151+K34</f>
        <v>0</v>
      </c>
      <c r="L45" s="203">
        <f>L143+L151+L34-M49-N49-M73-N73-M78-N78-N54-N97-N109-M97-M102-N102-M109-M114-N114-M121-N121-M126-N126-M133-N133</f>
        <v>264304.22300000006</v>
      </c>
      <c r="M45" s="203">
        <f>M143+M151+M34-N50-O50-N55-O55-N62-O62-N67-O67-N98-N74-N79-N86-N91-N103-N110-N115-N122-N127-N134</f>
        <v>94984.453000000009</v>
      </c>
      <c r="N45" s="203">
        <f>N143+N151+N34-O51-O56-O63-O68-O75-O80-O87-O92-O99-O104-O111-O116-O123-O128</f>
        <v>232203.61200000002</v>
      </c>
      <c r="O45" s="203">
        <f>O151+O143</f>
        <v>155378.50799999997</v>
      </c>
    </row>
    <row r="46" spans="1:15" ht="13.5" thickTop="1" thickBot="1">
      <c r="A46" s="852" t="s">
        <v>82</v>
      </c>
      <c r="B46" s="15" t="s">
        <v>83</v>
      </c>
      <c r="C46" s="488" t="s">
        <v>84</v>
      </c>
      <c r="D46" s="181">
        <f>SUM(E46:I46)</f>
        <v>301820</v>
      </c>
      <c r="E46" s="322">
        <f>E47+E59+E71+E83+E95</f>
        <v>0</v>
      </c>
      <c r="F46" s="322">
        <f>F47+F59+F71+F83+F95+F107+F119+F131</f>
        <v>73570</v>
      </c>
      <c r="G46" s="322">
        <f>G47+G59+G71+G83+G95+G107+G119+G131</f>
        <v>5420</v>
      </c>
      <c r="H46" s="322">
        <f>H47+H59+H71+H83+H95+H107+H119+H131</f>
        <v>107290</v>
      </c>
      <c r="I46" s="322">
        <f>I47+I59+I71+I83+I95+I107+I119+I131</f>
        <v>115540</v>
      </c>
      <c r="J46" s="181">
        <f>SUM(K46:O46)</f>
        <v>262466.53299999994</v>
      </c>
      <c r="K46" s="322">
        <f>K47+K59+K71+K83+K95</f>
        <v>0</v>
      </c>
      <c r="L46" s="322">
        <f>L47+L59+L71+L83+L95+L107+L119+L131</f>
        <v>65975.612999999998</v>
      </c>
      <c r="M46" s="322">
        <f>M47+M59+M71+M83+M95+M107+M119+M131</f>
        <v>4533.768</v>
      </c>
      <c r="N46" s="322">
        <f>N47+N59+N71+N83+N95+N107+N119+N131</f>
        <v>82384.638999999981</v>
      </c>
      <c r="O46" s="322">
        <f>O47+O59+O71+O83+O95+O107+O119+O131</f>
        <v>109572.51300000001</v>
      </c>
    </row>
    <row r="47" spans="1:15" s="3" customFormat="1" ht="13.5" thickTop="1" thickBot="1">
      <c r="A47" s="852"/>
      <c r="B47" s="497" t="s">
        <v>85</v>
      </c>
      <c r="C47" s="498" t="s">
        <v>86</v>
      </c>
      <c r="D47" s="369">
        <f t="shared" ref="D47:D94" si="14">SUM(E47:I47)</f>
        <v>215590</v>
      </c>
      <c r="E47" s="370"/>
      <c r="F47" s="478">
        <f>15050-H49-H54</f>
        <v>750</v>
      </c>
      <c r="G47" s="478">
        <f>2760-H50</f>
        <v>1260</v>
      </c>
      <c r="H47" s="479">
        <f>82860+H49+H50+H54</f>
        <v>98660</v>
      </c>
      <c r="I47" s="478">
        <v>114920</v>
      </c>
      <c r="J47" s="369">
        <f t="shared" ref="J47:J58" si="15">SUM(K47:O47)</f>
        <v>189041.13</v>
      </c>
      <c r="K47" s="273"/>
      <c r="L47" s="273">
        <f>19718.33-N49-N54</f>
        <v>1746.4850000000024</v>
      </c>
      <c r="M47" s="273">
        <f>1675.758-N50</f>
        <v>1041.558</v>
      </c>
      <c r="N47" s="274">
        <f>57705.556+N49+N54+558.724+363.372+N50</f>
        <v>77233.696999999986</v>
      </c>
      <c r="O47" s="273">
        <f>106262.236+645.188+1912.218+199.748</f>
        <v>109019.39</v>
      </c>
    </row>
    <row r="48" spans="1:15" ht="13.5" thickTop="1" thickBot="1">
      <c r="A48" s="852"/>
      <c r="B48" s="400" t="s">
        <v>87</v>
      </c>
      <c r="C48" s="499" t="s">
        <v>88</v>
      </c>
      <c r="D48" s="367">
        <f t="shared" si="14"/>
        <v>0</v>
      </c>
      <c r="E48" s="367"/>
      <c r="F48" s="367"/>
      <c r="G48" s="367"/>
      <c r="H48" s="367"/>
      <c r="I48" s="367"/>
      <c r="J48" s="265">
        <f t="shared" si="15"/>
        <v>0</v>
      </c>
      <c r="K48" s="265"/>
      <c r="L48" s="438"/>
      <c r="M48" s="265"/>
      <c r="N48" s="265"/>
      <c r="O48" s="265"/>
    </row>
    <row r="49" spans="1:16" ht="13.5" thickTop="1" thickBot="1">
      <c r="A49" s="852"/>
      <c r="B49" s="396"/>
      <c r="C49" s="500" t="s">
        <v>89</v>
      </c>
      <c r="D49" s="371">
        <f t="shared" si="14"/>
        <v>12900</v>
      </c>
      <c r="E49" s="372"/>
      <c r="F49" s="372"/>
      <c r="G49" s="371"/>
      <c r="H49" s="373">
        <v>12900</v>
      </c>
      <c r="I49" s="372"/>
      <c r="J49" s="277">
        <f t="shared" si="15"/>
        <v>15759.953</v>
      </c>
      <c r="K49" s="278"/>
      <c r="L49" s="439"/>
      <c r="M49" s="277"/>
      <c r="N49" s="461">
        <v>15759.953</v>
      </c>
      <c r="O49" s="278"/>
      <c r="P49" s="321"/>
    </row>
    <row r="50" spans="1:16" ht="13.5" thickTop="1" thickBot="1">
      <c r="A50" s="852"/>
      <c r="B50" s="396"/>
      <c r="C50" s="500" t="s">
        <v>90</v>
      </c>
      <c r="D50" s="371">
        <f t="shared" si="14"/>
        <v>1500</v>
      </c>
      <c r="E50" s="372"/>
      <c r="F50" s="372"/>
      <c r="G50" s="372"/>
      <c r="H50" s="459">
        <v>1500</v>
      </c>
      <c r="I50" s="371"/>
      <c r="J50" s="277">
        <f t="shared" si="15"/>
        <v>634.19999999999993</v>
      </c>
      <c r="K50" s="278"/>
      <c r="L50" s="439"/>
      <c r="M50" s="278"/>
      <c r="N50" s="526">
        <f>1227.965-593.765</f>
        <v>634.19999999999993</v>
      </c>
      <c r="O50" s="277"/>
      <c r="P50" s="24">
        <f>M53-M47</f>
        <v>0</v>
      </c>
    </row>
    <row r="51" spans="1:16" ht="13.5" thickTop="1" thickBot="1">
      <c r="A51" s="852"/>
      <c r="B51" s="396"/>
      <c r="C51" s="500" t="s">
        <v>91</v>
      </c>
      <c r="D51" s="371">
        <f t="shared" si="14"/>
        <v>0</v>
      </c>
      <c r="E51" s="372"/>
      <c r="F51" s="372"/>
      <c r="G51" s="372"/>
      <c r="H51" s="372"/>
      <c r="I51" s="371"/>
      <c r="J51" s="277">
        <f t="shared" si="15"/>
        <v>0</v>
      </c>
      <c r="K51" s="278"/>
      <c r="L51" s="439"/>
      <c r="M51" s="278"/>
      <c r="N51" s="278"/>
      <c r="O51" s="277"/>
    </row>
    <row r="52" spans="1:16" ht="13.5" thickTop="1" thickBot="1">
      <c r="A52" s="852"/>
      <c r="B52" s="400" t="s">
        <v>92</v>
      </c>
      <c r="C52" s="499" t="s">
        <v>93</v>
      </c>
      <c r="D52" s="367">
        <f t="shared" si="14"/>
        <v>0</v>
      </c>
      <c r="E52" s="367"/>
      <c r="F52" s="384"/>
      <c r="G52" s="384"/>
      <c r="H52" s="384"/>
      <c r="I52" s="384"/>
      <c r="J52" s="265">
        <f t="shared" si="15"/>
        <v>0</v>
      </c>
      <c r="K52" s="387"/>
      <c r="L52" s="518"/>
      <c r="M52" s="340"/>
      <c r="N52" s="340"/>
      <c r="O52" s="340"/>
    </row>
    <row r="53" spans="1:16" ht="13.5" thickTop="1" thickBot="1">
      <c r="A53" s="852"/>
      <c r="B53" s="400" t="s">
        <v>94</v>
      </c>
      <c r="C53" s="499" t="s">
        <v>95</v>
      </c>
      <c r="D53" s="374">
        <f t="shared" si="14"/>
        <v>26857</v>
      </c>
      <c r="E53" s="376"/>
      <c r="F53" s="376"/>
      <c r="G53" s="375">
        <v>1173</v>
      </c>
      <c r="H53" s="375">
        <v>25684</v>
      </c>
      <c r="I53" s="384"/>
      <c r="J53" s="280">
        <f t="shared" si="15"/>
        <v>21079.750000000004</v>
      </c>
      <c r="K53" s="238"/>
      <c r="L53" s="238"/>
      <c r="M53" s="281">
        <v>1041.558</v>
      </c>
      <c r="N53" s="281">
        <v>20031.046000000002</v>
      </c>
      <c r="O53" s="281">
        <v>7.1460000000000008</v>
      </c>
    </row>
    <row r="54" spans="1:16" ht="13.5" thickTop="1" thickBot="1">
      <c r="A54" s="852"/>
      <c r="B54" s="396"/>
      <c r="C54" s="500" t="s">
        <v>89</v>
      </c>
      <c r="D54" s="371">
        <f t="shared" si="14"/>
        <v>1400</v>
      </c>
      <c r="E54" s="377"/>
      <c r="F54" s="377"/>
      <c r="G54" s="376"/>
      <c r="H54" s="376">
        <v>1400</v>
      </c>
      <c r="I54" s="372"/>
      <c r="J54" s="392">
        <f t="shared" si="15"/>
        <v>2211.8919999999998</v>
      </c>
      <c r="K54" s="393"/>
      <c r="L54" s="393"/>
      <c r="M54" s="394"/>
      <c r="N54" s="394">
        <v>2211.8919999999998</v>
      </c>
      <c r="O54" s="395"/>
    </row>
    <row r="55" spans="1:16" ht="13.5" thickTop="1" thickBot="1">
      <c r="A55" s="852"/>
      <c r="B55" s="396"/>
      <c r="C55" s="500" t="s">
        <v>90</v>
      </c>
      <c r="D55" s="371">
        <f t="shared" si="14"/>
        <v>0</v>
      </c>
      <c r="E55" s="372"/>
      <c r="F55" s="372"/>
      <c r="G55" s="372"/>
      <c r="H55" s="371"/>
      <c r="I55" s="371"/>
      <c r="J55" s="398">
        <f t="shared" si="15"/>
        <v>0</v>
      </c>
      <c r="K55" s="399"/>
      <c r="L55" s="399"/>
      <c r="M55" s="399"/>
      <c r="N55" s="398"/>
      <c r="O55" s="398"/>
    </row>
    <row r="56" spans="1:16" ht="13.5" thickTop="1" thickBot="1">
      <c r="A56" s="852"/>
      <c r="B56" s="396"/>
      <c r="C56" s="500" t="s">
        <v>91</v>
      </c>
      <c r="D56" s="371">
        <f t="shared" si="14"/>
        <v>0</v>
      </c>
      <c r="E56" s="372"/>
      <c r="F56" s="372"/>
      <c r="G56" s="372"/>
      <c r="H56" s="372"/>
      <c r="I56" s="371"/>
      <c r="J56" s="398">
        <f t="shared" si="15"/>
        <v>0</v>
      </c>
      <c r="K56" s="399"/>
      <c r="L56" s="399"/>
      <c r="M56" s="399"/>
      <c r="N56" s="399"/>
      <c r="O56" s="398"/>
    </row>
    <row r="57" spans="1:16" ht="13.5" thickTop="1" thickBot="1">
      <c r="A57" s="852"/>
      <c r="B57" s="400" t="s">
        <v>96</v>
      </c>
      <c r="C57" s="499" t="s">
        <v>97</v>
      </c>
      <c r="D57" s="367">
        <f t="shared" si="14"/>
        <v>1120</v>
      </c>
      <c r="E57" s="367"/>
      <c r="F57" s="367"/>
      <c r="G57" s="367"/>
      <c r="H57" s="329">
        <v>1120</v>
      </c>
      <c r="I57" s="367"/>
      <c r="J57" s="401">
        <f t="shared" si="15"/>
        <v>888.861445</v>
      </c>
      <c r="K57" s="401"/>
      <c r="L57" s="401"/>
      <c r="M57" s="401"/>
      <c r="N57" s="402">
        <v>888.861445</v>
      </c>
      <c r="O57" s="401"/>
    </row>
    <row r="58" spans="1:16" ht="13.5" thickTop="1" thickBot="1">
      <c r="A58" s="852"/>
      <c r="B58" s="400" t="s">
        <v>98</v>
      </c>
      <c r="C58" s="499" t="s">
        <v>99</v>
      </c>
      <c r="D58" s="367">
        <f t="shared" si="14"/>
        <v>0</v>
      </c>
      <c r="E58" s="367"/>
      <c r="F58" s="367"/>
      <c r="G58" s="367"/>
      <c r="H58" s="323"/>
      <c r="I58" s="367"/>
      <c r="J58" s="401">
        <f t="shared" si="15"/>
        <v>0</v>
      </c>
      <c r="K58" s="401"/>
      <c r="L58" s="401"/>
      <c r="M58" s="401"/>
      <c r="N58" s="403"/>
      <c r="O58" s="401"/>
    </row>
    <row r="59" spans="1:16" ht="13.5" thickTop="1" thickBot="1">
      <c r="A59" s="852"/>
      <c r="B59" s="404" t="s">
        <v>171</v>
      </c>
      <c r="C59" s="501" t="s">
        <v>190</v>
      </c>
      <c r="D59" s="325">
        <f t="shared" si="14"/>
        <v>3360</v>
      </c>
      <c r="E59" s="339"/>
      <c r="F59" s="339">
        <v>2310</v>
      </c>
      <c r="G59" s="284"/>
      <c r="H59" s="339">
        <v>430</v>
      </c>
      <c r="I59" s="339">
        <v>620</v>
      </c>
      <c r="J59" s="309">
        <f t="shared" ref="J59:J106" si="16">SUM(K59:O59)</f>
        <v>2659.971</v>
      </c>
      <c r="K59" s="433">
        <v>0</v>
      </c>
      <c r="L59" s="433">
        <v>1620.7850000000001</v>
      </c>
      <c r="M59" s="310"/>
      <c r="N59" s="518">
        <f>462.431+23.632</f>
        <v>486.06299999999999</v>
      </c>
      <c r="O59" s="518">
        <f>430.55+122.573</f>
        <v>553.12300000000005</v>
      </c>
    </row>
    <row r="60" spans="1:16" ht="13.5" thickTop="1" thickBot="1">
      <c r="A60" s="852"/>
      <c r="B60" s="406" t="s">
        <v>172</v>
      </c>
      <c r="C60" s="486" t="s">
        <v>88</v>
      </c>
      <c r="D60" s="324">
        <f t="shared" si="14"/>
        <v>0</v>
      </c>
      <c r="E60" s="324"/>
      <c r="F60" s="324"/>
      <c r="G60" s="324"/>
      <c r="H60" s="324"/>
      <c r="I60" s="324"/>
      <c r="J60" s="308">
        <f t="shared" si="16"/>
        <v>0</v>
      </c>
      <c r="K60" s="308"/>
      <c r="L60" s="308"/>
      <c r="M60" s="436"/>
      <c r="N60" s="308"/>
      <c r="O60" s="308"/>
    </row>
    <row r="61" spans="1:16" ht="13.5" thickTop="1" thickBot="1">
      <c r="A61" s="852"/>
      <c r="B61" s="407"/>
      <c r="C61" s="502" t="s">
        <v>89</v>
      </c>
      <c r="D61" s="326">
        <f t="shared" si="14"/>
        <v>0</v>
      </c>
      <c r="E61" s="327"/>
      <c r="F61" s="327"/>
      <c r="G61" s="326"/>
      <c r="H61" s="326"/>
      <c r="I61" s="327"/>
      <c r="J61" s="311">
        <f t="shared" si="16"/>
        <v>0</v>
      </c>
      <c r="K61" s="312"/>
      <c r="L61" s="312"/>
      <c r="M61" s="311"/>
      <c r="N61" s="311"/>
      <c r="O61" s="312"/>
    </row>
    <row r="62" spans="1:16" ht="13.5" thickTop="1" thickBot="1">
      <c r="A62" s="852"/>
      <c r="B62" s="407"/>
      <c r="C62" s="502" t="s">
        <v>90</v>
      </c>
      <c r="D62" s="326">
        <f t="shared" si="14"/>
        <v>0</v>
      </c>
      <c r="E62" s="327"/>
      <c r="F62" s="327"/>
      <c r="G62" s="327"/>
      <c r="H62" s="326"/>
      <c r="I62" s="326"/>
      <c r="J62" s="311">
        <f t="shared" si="16"/>
        <v>0</v>
      </c>
      <c r="K62" s="312"/>
      <c r="L62" s="312"/>
      <c r="M62" s="312"/>
      <c r="N62" s="311"/>
      <c r="O62" s="311"/>
    </row>
    <row r="63" spans="1:16" ht="13.5" thickTop="1" thickBot="1">
      <c r="A63" s="852"/>
      <c r="B63" s="407"/>
      <c r="C63" s="502" t="s">
        <v>91</v>
      </c>
      <c r="D63" s="326">
        <f t="shared" si="14"/>
        <v>0</v>
      </c>
      <c r="E63" s="327"/>
      <c r="F63" s="327"/>
      <c r="G63" s="327"/>
      <c r="H63" s="327"/>
      <c r="I63" s="326"/>
      <c r="J63" s="311">
        <f t="shared" si="16"/>
        <v>0</v>
      </c>
      <c r="K63" s="312"/>
      <c r="L63" s="312"/>
      <c r="M63" s="312"/>
      <c r="N63" s="312"/>
      <c r="O63" s="311"/>
    </row>
    <row r="64" spans="1:16" ht="13.5" thickTop="1" thickBot="1">
      <c r="A64" s="852"/>
      <c r="B64" s="406" t="s">
        <v>173</v>
      </c>
      <c r="C64" s="486" t="s">
        <v>93</v>
      </c>
      <c r="D64" s="324">
        <f t="shared" si="14"/>
        <v>0</v>
      </c>
      <c r="E64" s="184"/>
      <c r="F64" s="432"/>
      <c r="G64" s="328"/>
      <c r="H64" s="328"/>
      <c r="I64" s="324"/>
      <c r="J64" s="308">
        <f t="shared" si="16"/>
        <v>0</v>
      </c>
      <c r="K64" s="433"/>
      <c r="L64" s="485"/>
      <c r="M64" s="313"/>
      <c r="N64" s="313"/>
      <c r="O64" s="308"/>
    </row>
    <row r="65" spans="1:15" ht="13.5" thickTop="1" thickBot="1">
      <c r="A65" s="852"/>
      <c r="B65" s="406" t="s">
        <v>174</v>
      </c>
      <c r="C65" s="486" t="s">
        <v>95</v>
      </c>
      <c r="D65" s="330">
        <f t="shared" si="14"/>
        <v>0</v>
      </c>
      <c r="E65" s="378"/>
      <c r="F65" s="326"/>
      <c r="G65" s="326"/>
      <c r="H65" s="326"/>
      <c r="I65" s="324"/>
      <c r="J65" s="314">
        <f t="shared" si="16"/>
        <v>0</v>
      </c>
      <c r="K65" s="343"/>
      <c r="L65" s="311"/>
      <c r="M65" s="311"/>
      <c r="N65" s="311"/>
      <c r="O65" s="308"/>
    </row>
    <row r="66" spans="1:15" ht="13.5" thickTop="1" thickBot="1">
      <c r="A66" s="852"/>
      <c r="B66" s="407"/>
      <c r="C66" s="502" t="s">
        <v>89</v>
      </c>
      <c r="D66" s="326">
        <f t="shared" si="14"/>
        <v>0</v>
      </c>
      <c r="E66" s="327"/>
      <c r="F66" s="327"/>
      <c r="G66" s="326"/>
      <c r="H66" s="326"/>
      <c r="I66" s="327"/>
      <c r="J66" s="311">
        <f t="shared" si="16"/>
        <v>0</v>
      </c>
      <c r="K66" s="312"/>
      <c r="L66" s="312"/>
      <c r="M66" s="311"/>
      <c r="N66" s="311"/>
      <c r="O66" s="312"/>
    </row>
    <row r="67" spans="1:15" ht="13.5" thickTop="1" thickBot="1">
      <c r="A67" s="852"/>
      <c r="B67" s="407"/>
      <c r="C67" s="502" t="s">
        <v>90</v>
      </c>
      <c r="D67" s="326">
        <f t="shared" si="14"/>
        <v>0</v>
      </c>
      <c r="E67" s="327"/>
      <c r="F67" s="327"/>
      <c r="G67" s="327"/>
      <c r="H67" s="326"/>
      <c r="I67" s="326"/>
      <c r="J67" s="311">
        <f t="shared" si="16"/>
        <v>0</v>
      </c>
      <c r="K67" s="312"/>
      <c r="L67" s="312"/>
      <c r="M67" s="312"/>
      <c r="N67" s="311"/>
      <c r="O67" s="311"/>
    </row>
    <row r="68" spans="1:15" ht="13.5" thickTop="1" thickBot="1">
      <c r="A68" s="852"/>
      <c r="B68" s="407"/>
      <c r="C68" s="502" t="s">
        <v>91</v>
      </c>
      <c r="D68" s="326">
        <f t="shared" si="14"/>
        <v>0</v>
      </c>
      <c r="E68" s="327"/>
      <c r="F68" s="327"/>
      <c r="G68" s="327"/>
      <c r="H68" s="327"/>
      <c r="I68" s="326"/>
      <c r="J68" s="311">
        <f t="shared" si="16"/>
        <v>0</v>
      </c>
      <c r="K68" s="312"/>
      <c r="L68" s="312"/>
      <c r="M68" s="312"/>
      <c r="N68" s="312"/>
      <c r="O68" s="311"/>
    </row>
    <row r="69" spans="1:15" ht="13.5" thickTop="1" thickBot="1">
      <c r="A69" s="852"/>
      <c r="B69" s="406" t="s">
        <v>176</v>
      </c>
      <c r="C69" s="486" t="s">
        <v>97</v>
      </c>
      <c r="D69" s="324">
        <f t="shared" si="14"/>
        <v>0</v>
      </c>
      <c r="E69" s="324"/>
      <c r="F69" s="324"/>
      <c r="G69" s="324"/>
      <c r="H69" s="323"/>
      <c r="I69" s="324"/>
      <c r="J69" s="308">
        <f t="shared" si="16"/>
        <v>0</v>
      </c>
      <c r="K69" s="308"/>
      <c r="L69" s="308"/>
      <c r="M69" s="308"/>
      <c r="N69" s="307"/>
      <c r="O69" s="308"/>
    </row>
    <row r="70" spans="1:15" ht="13.5" thickTop="1" thickBot="1">
      <c r="A70" s="852"/>
      <c r="B70" s="406" t="s">
        <v>175</v>
      </c>
      <c r="C70" s="486" t="s">
        <v>99</v>
      </c>
      <c r="D70" s="324">
        <f t="shared" si="14"/>
        <v>0</v>
      </c>
      <c r="E70" s="324"/>
      <c r="F70" s="324"/>
      <c r="G70" s="324"/>
      <c r="H70" s="323"/>
      <c r="I70" s="324"/>
      <c r="J70" s="308">
        <f t="shared" si="16"/>
        <v>0</v>
      </c>
      <c r="K70" s="308"/>
      <c r="L70" s="308"/>
      <c r="M70" s="308"/>
      <c r="N70" s="307"/>
      <c r="O70" s="308"/>
    </row>
    <row r="71" spans="1:15" ht="13.5" thickTop="1" thickBot="1">
      <c r="A71" s="852"/>
      <c r="B71" s="404" t="s">
        <v>177</v>
      </c>
      <c r="C71" s="501" t="s">
        <v>203</v>
      </c>
      <c r="D71" s="325">
        <f t="shared" si="14"/>
        <v>7490</v>
      </c>
      <c r="E71" s="284"/>
      <c r="F71" s="284"/>
      <c r="G71" s="599">
        <v>4160</v>
      </c>
      <c r="H71" s="599">
        <v>3330</v>
      </c>
      <c r="I71" s="284"/>
      <c r="J71" s="309">
        <f t="shared" si="16"/>
        <v>6153.3780000000006</v>
      </c>
      <c r="K71" s="409"/>
      <c r="L71" s="409"/>
      <c r="M71" s="336">
        <v>3492.21</v>
      </c>
      <c r="N71" s="336">
        <v>2661.1680000000001</v>
      </c>
      <c r="O71" s="310"/>
    </row>
    <row r="72" spans="1:15" ht="13.5" thickTop="1" thickBot="1">
      <c r="A72" s="852"/>
      <c r="B72" s="406" t="s">
        <v>178</v>
      </c>
      <c r="C72" s="486" t="s">
        <v>88</v>
      </c>
      <c r="D72" s="324">
        <f t="shared" si="14"/>
        <v>0</v>
      </c>
      <c r="E72" s="324"/>
      <c r="F72" s="324"/>
      <c r="G72" s="324"/>
      <c r="H72" s="324"/>
      <c r="I72" s="324"/>
      <c r="J72" s="308">
        <f t="shared" si="16"/>
        <v>0</v>
      </c>
      <c r="K72" s="308"/>
      <c r="L72" s="308"/>
      <c r="M72" s="308"/>
      <c r="N72" s="308"/>
      <c r="O72" s="308"/>
    </row>
    <row r="73" spans="1:15" ht="13.5" thickTop="1" thickBot="1">
      <c r="A73" s="852"/>
      <c r="B73" s="407"/>
      <c r="C73" s="502" t="s">
        <v>89</v>
      </c>
      <c r="D73" s="326">
        <f t="shared" si="14"/>
        <v>3403</v>
      </c>
      <c r="E73" s="327"/>
      <c r="F73" s="327"/>
      <c r="G73" s="602">
        <f>G71-G78</f>
        <v>1107</v>
      </c>
      <c r="H73" s="602">
        <f>H71-H78</f>
        <v>2296</v>
      </c>
      <c r="I73" s="327"/>
      <c r="J73" s="311">
        <f t="shared" si="16"/>
        <v>2689.0170000000007</v>
      </c>
      <c r="K73" s="312"/>
      <c r="L73" s="312"/>
      <c r="M73" s="311">
        <f>M71-M78</f>
        <v>855.69800000000032</v>
      </c>
      <c r="N73" s="311">
        <f>N71-N78</f>
        <v>1833.3190000000002</v>
      </c>
      <c r="O73" s="312"/>
    </row>
    <row r="74" spans="1:15" ht="13.5" thickTop="1" thickBot="1">
      <c r="A74" s="852"/>
      <c r="B74" s="407"/>
      <c r="C74" s="502" t="s">
        <v>90</v>
      </c>
      <c r="D74" s="326">
        <f t="shared" si="14"/>
        <v>0</v>
      </c>
      <c r="E74" s="327"/>
      <c r="F74" s="327"/>
      <c r="G74" s="630"/>
      <c r="H74" s="631"/>
      <c r="I74" s="326"/>
      <c r="J74" s="311">
        <f t="shared" si="16"/>
        <v>0</v>
      </c>
      <c r="K74" s="312"/>
      <c r="L74" s="312"/>
      <c r="M74" s="312"/>
      <c r="N74" s="311"/>
      <c r="O74" s="311"/>
    </row>
    <row r="75" spans="1:15" ht="13.5" thickTop="1" thickBot="1">
      <c r="A75" s="852"/>
      <c r="B75" s="407"/>
      <c r="C75" s="502" t="s">
        <v>91</v>
      </c>
      <c r="D75" s="326">
        <f t="shared" si="14"/>
        <v>0</v>
      </c>
      <c r="E75" s="327"/>
      <c r="F75" s="327"/>
      <c r="G75" s="630"/>
      <c r="H75" s="630"/>
      <c r="I75" s="326"/>
      <c r="J75" s="311">
        <f t="shared" si="16"/>
        <v>0</v>
      </c>
      <c r="K75" s="312"/>
      <c r="L75" s="312"/>
      <c r="M75" s="312"/>
      <c r="N75" s="312"/>
      <c r="O75" s="311"/>
    </row>
    <row r="76" spans="1:15" ht="13.5" thickTop="1" thickBot="1">
      <c r="A76" s="852"/>
      <c r="B76" s="406" t="s">
        <v>179</v>
      </c>
      <c r="C76" s="486" t="s">
        <v>93</v>
      </c>
      <c r="D76" s="324">
        <f t="shared" si="14"/>
        <v>0</v>
      </c>
      <c r="E76" s="324"/>
      <c r="F76" s="324"/>
      <c r="G76" s="632"/>
      <c r="H76" s="632"/>
      <c r="I76" s="324"/>
      <c r="J76" s="308">
        <f t="shared" si="16"/>
        <v>0</v>
      </c>
      <c r="K76" s="308"/>
      <c r="L76" s="308"/>
      <c r="M76" s="313"/>
      <c r="N76" s="313"/>
      <c r="O76" s="308"/>
    </row>
    <row r="77" spans="1:15" ht="13.5" thickTop="1" thickBot="1">
      <c r="A77" s="852"/>
      <c r="B77" s="406" t="s">
        <v>180</v>
      </c>
      <c r="C77" s="486" t="s">
        <v>95</v>
      </c>
      <c r="D77" s="330">
        <f t="shared" si="14"/>
        <v>0</v>
      </c>
      <c r="E77" s="380"/>
      <c r="F77" s="326"/>
      <c r="G77" s="602"/>
      <c r="H77" s="602"/>
      <c r="I77" s="324"/>
      <c r="J77" s="314">
        <f t="shared" si="16"/>
        <v>0</v>
      </c>
      <c r="K77" s="410"/>
      <c r="L77" s="311"/>
      <c r="M77" s="337"/>
      <c r="N77" s="337"/>
      <c r="O77" s="308"/>
    </row>
    <row r="78" spans="1:15" ht="13.5" thickTop="1" thickBot="1">
      <c r="A78" s="852"/>
      <c r="B78" s="407"/>
      <c r="C78" s="502" t="s">
        <v>89</v>
      </c>
      <c r="D78" s="326">
        <f t="shared" si="14"/>
        <v>4087</v>
      </c>
      <c r="E78" s="327"/>
      <c r="F78" s="327"/>
      <c r="G78" s="326">
        <v>3053</v>
      </c>
      <c r="H78" s="326">
        <f>49+985</f>
        <v>1034</v>
      </c>
      <c r="I78" s="327"/>
      <c r="J78" s="311">
        <f t="shared" si="16"/>
        <v>3464.3609999999999</v>
      </c>
      <c r="K78" s="312"/>
      <c r="L78" s="312"/>
      <c r="M78" s="311">
        <v>2636.5119999999997</v>
      </c>
      <c r="N78" s="311">
        <v>827.84899999999993</v>
      </c>
      <c r="O78" s="312"/>
    </row>
    <row r="79" spans="1:15" ht="13.5" thickTop="1" thickBot="1">
      <c r="A79" s="852"/>
      <c r="B79" s="407"/>
      <c r="C79" s="502" t="s">
        <v>90</v>
      </c>
      <c r="D79" s="326">
        <f t="shared" si="14"/>
        <v>0</v>
      </c>
      <c r="E79" s="327"/>
      <c r="F79" s="327"/>
      <c r="G79" s="327"/>
      <c r="H79" s="326"/>
      <c r="I79" s="326"/>
      <c r="J79" s="311">
        <f t="shared" si="16"/>
        <v>0</v>
      </c>
      <c r="K79" s="312"/>
      <c r="L79" s="312"/>
      <c r="M79" s="312"/>
      <c r="N79" s="311"/>
      <c r="O79" s="311"/>
    </row>
    <row r="80" spans="1:15" ht="13.5" thickTop="1" thickBot="1">
      <c r="A80" s="852"/>
      <c r="B80" s="407"/>
      <c r="C80" s="502" t="s">
        <v>91</v>
      </c>
      <c r="D80" s="326">
        <f t="shared" si="14"/>
        <v>0</v>
      </c>
      <c r="E80" s="327"/>
      <c r="F80" s="327"/>
      <c r="G80" s="327"/>
      <c r="H80" s="327"/>
      <c r="I80" s="326"/>
      <c r="J80" s="311">
        <f t="shared" si="16"/>
        <v>0</v>
      </c>
      <c r="K80" s="312"/>
      <c r="L80" s="312"/>
      <c r="M80" s="312"/>
      <c r="N80" s="312"/>
      <c r="O80" s="311"/>
    </row>
    <row r="81" spans="1:15" ht="13.5" thickTop="1" thickBot="1">
      <c r="A81" s="852"/>
      <c r="B81" s="406" t="s">
        <v>181</v>
      </c>
      <c r="C81" s="486" t="s">
        <v>97</v>
      </c>
      <c r="D81" s="324">
        <f t="shared" si="14"/>
        <v>0</v>
      </c>
      <c r="E81" s="324"/>
      <c r="F81" s="324"/>
      <c r="G81" s="324"/>
      <c r="H81" s="323"/>
      <c r="I81" s="324"/>
      <c r="J81" s="308">
        <f t="shared" si="16"/>
        <v>0</v>
      </c>
      <c r="K81" s="308"/>
      <c r="L81" s="308"/>
      <c r="M81" s="308"/>
      <c r="N81" s="307"/>
      <c r="O81" s="308"/>
    </row>
    <row r="82" spans="1:15" ht="13.5" thickTop="1" thickBot="1">
      <c r="A82" s="852"/>
      <c r="B82" s="406" t="s">
        <v>182</v>
      </c>
      <c r="C82" s="486" t="s">
        <v>99</v>
      </c>
      <c r="D82" s="324">
        <f t="shared" si="14"/>
        <v>0</v>
      </c>
      <c r="E82" s="324"/>
      <c r="F82" s="324"/>
      <c r="G82" s="324"/>
      <c r="H82" s="323"/>
      <c r="I82" s="324"/>
      <c r="J82" s="308">
        <f t="shared" si="16"/>
        <v>0</v>
      </c>
      <c r="K82" s="308"/>
      <c r="L82" s="308"/>
      <c r="M82" s="308"/>
      <c r="N82" s="307"/>
      <c r="O82" s="308"/>
    </row>
    <row r="83" spans="1:15" ht="13.5" thickTop="1" thickBot="1">
      <c r="A83" s="852"/>
      <c r="B83" s="404" t="s">
        <v>183</v>
      </c>
      <c r="C83" s="501" t="s">
        <v>189</v>
      </c>
      <c r="D83" s="325">
        <f t="shared" si="14"/>
        <v>70510</v>
      </c>
      <c r="E83" s="284"/>
      <c r="F83" s="339">
        <v>70510</v>
      </c>
      <c r="G83" s="284"/>
      <c r="H83" s="284"/>
      <c r="I83" s="284"/>
      <c r="J83" s="308">
        <f t="shared" si="16"/>
        <v>62608.343000000001</v>
      </c>
      <c r="K83" s="308"/>
      <c r="L83" s="411">
        <v>62608.343000000001</v>
      </c>
      <c r="M83" s="308"/>
      <c r="N83" s="307"/>
      <c r="O83" s="308"/>
    </row>
    <row r="84" spans="1:15" ht="13.5" thickTop="1" thickBot="1">
      <c r="A84" s="852"/>
      <c r="B84" s="406" t="s">
        <v>184</v>
      </c>
      <c r="C84" s="486" t="s">
        <v>88</v>
      </c>
      <c r="D84" s="324">
        <f t="shared" si="14"/>
        <v>0</v>
      </c>
      <c r="E84" s="324"/>
      <c r="F84" s="324"/>
      <c r="G84" s="324"/>
      <c r="H84" s="324"/>
      <c r="I84" s="324"/>
      <c r="J84" s="308">
        <f t="shared" si="16"/>
        <v>0</v>
      </c>
      <c r="K84" s="308"/>
      <c r="L84" s="308"/>
      <c r="M84" s="308"/>
      <c r="N84" s="308"/>
      <c r="O84" s="308"/>
    </row>
    <row r="85" spans="1:15" ht="13.5" thickTop="1" thickBot="1">
      <c r="A85" s="852"/>
      <c r="B85" s="407"/>
      <c r="C85" s="502" t="s">
        <v>89</v>
      </c>
      <c r="D85" s="326">
        <f t="shared" si="14"/>
        <v>0</v>
      </c>
      <c r="E85" s="327"/>
      <c r="F85" s="327"/>
      <c r="G85" s="326"/>
      <c r="H85" s="326"/>
      <c r="I85" s="327"/>
      <c r="J85" s="311">
        <f t="shared" si="16"/>
        <v>0</v>
      </c>
      <c r="K85" s="312"/>
      <c r="L85" s="312"/>
      <c r="M85" s="311"/>
      <c r="N85" s="311"/>
      <c r="O85" s="312"/>
    </row>
    <row r="86" spans="1:15" ht="13.5" thickTop="1" thickBot="1">
      <c r="A86" s="852"/>
      <c r="B86" s="407"/>
      <c r="C86" s="502" t="s">
        <v>90</v>
      </c>
      <c r="D86" s="326">
        <f t="shared" si="14"/>
        <v>0</v>
      </c>
      <c r="E86" s="327"/>
      <c r="F86" s="327"/>
      <c r="G86" s="327"/>
      <c r="H86" s="326"/>
      <c r="I86" s="326"/>
      <c r="J86" s="311">
        <f t="shared" si="16"/>
        <v>0</v>
      </c>
      <c r="K86" s="312"/>
      <c r="L86" s="312"/>
      <c r="M86" s="312"/>
      <c r="N86" s="311"/>
      <c r="O86" s="311"/>
    </row>
    <row r="87" spans="1:15" ht="13.5" thickTop="1" thickBot="1">
      <c r="A87" s="852"/>
      <c r="B87" s="407"/>
      <c r="C87" s="502" t="s">
        <v>91</v>
      </c>
      <c r="D87" s="326">
        <f t="shared" si="14"/>
        <v>0</v>
      </c>
      <c r="E87" s="327"/>
      <c r="F87" s="327"/>
      <c r="G87" s="327"/>
      <c r="H87" s="327"/>
      <c r="I87" s="326"/>
      <c r="J87" s="311">
        <f t="shared" si="16"/>
        <v>0</v>
      </c>
      <c r="K87" s="312"/>
      <c r="L87" s="312"/>
      <c r="M87" s="312"/>
      <c r="N87" s="312"/>
      <c r="O87" s="311"/>
    </row>
    <row r="88" spans="1:15" ht="13.5" thickTop="1" thickBot="1">
      <c r="A88" s="852"/>
      <c r="B88" s="406" t="s">
        <v>185</v>
      </c>
      <c r="C88" s="486" t="s">
        <v>93</v>
      </c>
      <c r="D88" s="324">
        <f t="shared" si="14"/>
        <v>0</v>
      </c>
      <c r="E88" s="324"/>
      <c r="F88" s="324"/>
      <c r="G88" s="328"/>
      <c r="H88" s="328"/>
      <c r="I88" s="324"/>
      <c r="J88" s="308">
        <f t="shared" si="16"/>
        <v>0</v>
      </c>
      <c r="K88" s="308"/>
      <c r="L88" s="308"/>
      <c r="M88" s="313"/>
      <c r="N88" s="313"/>
      <c r="O88" s="308"/>
    </row>
    <row r="89" spans="1:15" ht="13.5" thickTop="1" thickBot="1">
      <c r="A89" s="852"/>
      <c r="B89" s="406" t="s">
        <v>186</v>
      </c>
      <c r="C89" s="486" t="s">
        <v>95</v>
      </c>
      <c r="D89" s="330">
        <f t="shared" si="14"/>
        <v>28043</v>
      </c>
      <c r="E89" s="380"/>
      <c r="F89" s="331">
        <v>28043</v>
      </c>
      <c r="G89" s="326"/>
      <c r="H89" s="326"/>
      <c r="I89" s="324"/>
      <c r="J89" s="314">
        <f t="shared" si="16"/>
        <v>26467.1</v>
      </c>
      <c r="K89" s="410"/>
      <c r="L89" s="343">
        <v>26467.1</v>
      </c>
      <c r="M89" s="311"/>
      <c r="N89" s="311"/>
      <c r="O89" s="308"/>
    </row>
    <row r="90" spans="1:15" ht="13.5" thickTop="1" thickBot="1">
      <c r="A90" s="852"/>
      <c r="B90" s="407"/>
      <c r="C90" s="502" t="s">
        <v>89</v>
      </c>
      <c r="D90" s="326">
        <f t="shared" si="14"/>
        <v>0</v>
      </c>
      <c r="E90" s="327"/>
      <c r="F90" s="327"/>
      <c r="G90" s="326"/>
      <c r="H90" s="326"/>
      <c r="I90" s="327"/>
      <c r="J90" s="311">
        <f t="shared" si="16"/>
        <v>0</v>
      </c>
      <c r="K90" s="312"/>
      <c r="L90" s="312"/>
      <c r="M90" s="311"/>
      <c r="N90" s="311"/>
      <c r="O90" s="312"/>
    </row>
    <row r="91" spans="1:15" ht="13.5" thickTop="1" thickBot="1">
      <c r="A91" s="852"/>
      <c r="B91" s="407"/>
      <c r="C91" s="502" t="s">
        <v>90</v>
      </c>
      <c r="D91" s="326">
        <f t="shared" si="14"/>
        <v>0</v>
      </c>
      <c r="E91" s="327"/>
      <c r="F91" s="327"/>
      <c r="G91" s="327"/>
      <c r="H91" s="326"/>
      <c r="I91" s="326"/>
      <c r="J91" s="311">
        <f t="shared" si="16"/>
        <v>0</v>
      </c>
      <c r="K91" s="312"/>
      <c r="L91" s="312"/>
      <c r="M91" s="312"/>
      <c r="N91" s="311"/>
      <c r="O91" s="311"/>
    </row>
    <row r="92" spans="1:15" ht="13.5" thickTop="1" thickBot="1">
      <c r="A92" s="852"/>
      <c r="B92" s="407"/>
      <c r="C92" s="502" t="s">
        <v>91</v>
      </c>
      <c r="D92" s="326">
        <f t="shared" si="14"/>
        <v>0</v>
      </c>
      <c r="E92" s="327"/>
      <c r="F92" s="327"/>
      <c r="G92" s="327"/>
      <c r="H92" s="327"/>
      <c r="I92" s="326"/>
      <c r="J92" s="311">
        <f t="shared" si="16"/>
        <v>0</v>
      </c>
      <c r="K92" s="312"/>
      <c r="L92" s="312"/>
      <c r="M92" s="312"/>
      <c r="N92" s="312"/>
      <c r="O92" s="311"/>
    </row>
    <row r="93" spans="1:15" ht="13.5" thickTop="1" thickBot="1">
      <c r="A93" s="852"/>
      <c r="B93" s="406" t="s">
        <v>187</v>
      </c>
      <c r="C93" s="486" t="s">
        <v>97</v>
      </c>
      <c r="D93" s="324">
        <f t="shared" si="14"/>
        <v>0</v>
      </c>
      <c r="E93" s="324"/>
      <c r="F93" s="324"/>
      <c r="G93" s="324"/>
      <c r="H93" s="323"/>
      <c r="I93" s="324"/>
      <c r="J93" s="480">
        <f t="shared" si="16"/>
        <v>0</v>
      </c>
      <c r="K93" s="308"/>
      <c r="L93" s="308"/>
      <c r="M93" s="308"/>
      <c r="N93" s="307"/>
      <c r="O93" s="308"/>
    </row>
    <row r="94" spans="1:15" ht="13.5" thickTop="1" thickBot="1">
      <c r="A94" s="852"/>
      <c r="B94" s="406" t="s">
        <v>188</v>
      </c>
      <c r="C94" s="486" t="s">
        <v>99</v>
      </c>
      <c r="D94" s="324">
        <f t="shared" si="14"/>
        <v>0</v>
      </c>
      <c r="E94" s="324"/>
      <c r="F94" s="324"/>
      <c r="G94" s="324"/>
      <c r="H94" s="323"/>
      <c r="I94" s="324"/>
      <c r="J94" s="480">
        <f t="shared" si="16"/>
        <v>0</v>
      </c>
      <c r="K94" s="308"/>
      <c r="L94" s="308"/>
      <c r="M94" s="308"/>
      <c r="N94" s="308"/>
      <c r="O94" s="308"/>
    </row>
    <row r="95" spans="1:15" ht="13.5" thickTop="1" thickBot="1">
      <c r="A95" s="852"/>
      <c r="B95" s="204" t="s">
        <v>197</v>
      </c>
      <c r="C95" s="595" t="s">
        <v>204</v>
      </c>
      <c r="D95" s="325">
        <f t="shared" ref="D95:D106" si="17">SUM(E95:I95)</f>
        <v>4870</v>
      </c>
      <c r="E95" s="284"/>
      <c r="F95" s="325"/>
      <c r="G95" s="284"/>
      <c r="H95" s="339">
        <v>4870</v>
      </c>
      <c r="I95" s="284"/>
      <c r="J95" s="206">
        <f t="shared" si="16"/>
        <v>2003.711</v>
      </c>
      <c r="K95" s="284"/>
      <c r="L95" s="325"/>
      <c r="M95" s="214"/>
      <c r="N95" s="339">
        <v>2003.711</v>
      </c>
      <c r="O95" s="214"/>
    </row>
    <row r="96" spans="1:15" ht="13.5" thickTop="1" thickBot="1">
      <c r="A96" s="852"/>
      <c r="B96" s="182" t="s">
        <v>198</v>
      </c>
      <c r="C96" s="182" t="s">
        <v>88</v>
      </c>
      <c r="D96" s="324">
        <f t="shared" si="17"/>
        <v>0</v>
      </c>
      <c r="E96" s="324"/>
      <c r="F96" s="324"/>
      <c r="G96" s="324"/>
      <c r="H96" s="324"/>
      <c r="I96" s="324"/>
      <c r="J96" s="196">
        <f t="shared" si="16"/>
        <v>0</v>
      </c>
      <c r="K96" s="196"/>
      <c r="L96" s="196"/>
      <c r="M96" s="196"/>
      <c r="N96" s="196"/>
      <c r="O96" s="196"/>
    </row>
    <row r="97" spans="1:15" ht="13.5" thickTop="1" thickBot="1">
      <c r="A97" s="852"/>
      <c r="B97" s="207"/>
      <c r="C97" s="208" t="s">
        <v>89</v>
      </c>
      <c r="D97" s="326">
        <f t="shared" si="17"/>
        <v>1980</v>
      </c>
      <c r="E97" s="327"/>
      <c r="F97" s="327"/>
      <c r="G97" s="326"/>
      <c r="H97" s="339">
        <v>1980</v>
      </c>
      <c r="I97" s="327"/>
      <c r="J97" s="209">
        <f t="shared" si="16"/>
        <v>0</v>
      </c>
      <c r="K97" s="210"/>
      <c r="L97" s="210"/>
      <c r="M97" s="209"/>
      <c r="N97" s="209"/>
      <c r="O97" s="210"/>
    </row>
    <row r="98" spans="1:15" ht="13.5" thickTop="1" thickBot="1">
      <c r="A98" s="852"/>
      <c r="B98" s="207"/>
      <c r="C98" s="208" t="s">
        <v>90</v>
      </c>
      <c r="D98" s="326">
        <f t="shared" si="17"/>
        <v>1560</v>
      </c>
      <c r="E98" s="327"/>
      <c r="F98" s="327"/>
      <c r="G98" s="327"/>
      <c r="H98" s="339">
        <v>1560</v>
      </c>
      <c r="I98" s="326"/>
      <c r="J98" s="209">
        <f t="shared" si="16"/>
        <v>716.46199999999999</v>
      </c>
      <c r="K98" s="210"/>
      <c r="L98" s="210"/>
      <c r="M98" s="210"/>
      <c r="N98" s="209">
        <v>716.46199999999999</v>
      </c>
      <c r="O98" s="209"/>
    </row>
    <row r="99" spans="1:15" ht="13.5" thickTop="1" thickBot="1">
      <c r="A99" s="852"/>
      <c r="B99" s="207"/>
      <c r="C99" s="208" t="s">
        <v>91</v>
      </c>
      <c r="D99" s="326">
        <f t="shared" si="17"/>
        <v>0</v>
      </c>
      <c r="E99" s="327"/>
      <c r="F99" s="327"/>
      <c r="G99" s="327"/>
      <c r="H99" s="327"/>
      <c r="I99" s="326"/>
      <c r="J99" s="209">
        <f t="shared" si="16"/>
        <v>0</v>
      </c>
      <c r="K99" s="210"/>
      <c r="L99" s="210"/>
      <c r="M99" s="210"/>
      <c r="N99" s="210"/>
      <c r="O99" s="209"/>
    </row>
    <row r="100" spans="1:15" ht="13.5" thickTop="1" thickBot="1">
      <c r="A100" s="852"/>
      <c r="B100" s="182" t="s">
        <v>199</v>
      </c>
      <c r="C100" s="182" t="s">
        <v>93</v>
      </c>
      <c r="D100" s="324">
        <f t="shared" si="17"/>
        <v>0</v>
      </c>
      <c r="E100" s="324"/>
      <c r="F100" s="324"/>
      <c r="G100" s="328"/>
      <c r="H100" s="328"/>
      <c r="I100" s="324"/>
      <c r="J100" s="196">
        <f t="shared" si="16"/>
        <v>0</v>
      </c>
      <c r="K100" s="196"/>
      <c r="L100" s="196"/>
      <c r="M100" s="211"/>
      <c r="N100" s="328"/>
      <c r="O100" s="196"/>
    </row>
    <row r="101" spans="1:15" ht="13.5" thickTop="1" thickBot="1">
      <c r="A101" s="852"/>
      <c r="B101" s="182" t="s">
        <v>200</v>
      </c>
      <c r="C101" s="182" t="s">
        <v>95</v>
      </c>
      <c r="D101" s="330">
        <f t="shared" si="17"/>
        <v>0</v>
      </c>
      <c r="E101" s="380"/>
      <c r="F101" s="331"/>
      <c r="G101" s="326"/>
      <c r="H101" s="326"/>
      <c r="I101" s="324"/>
      <c r="J101" s="213">
        <f t="shared" si="16"/>
        <v>0</v>
      </c>
      <c r="K101" s="383"/>
      <c r="L101" s="320"/>
      <c r="M101" s="209"/>
      <c r="N101" s="209"/>
      <c r="O101" s="196"/>
    </row>
    <row r="102" spans="1:15" ht="13.5" thickTop="1" thickBot="1">
      <c r="A102" s="852"/>
      <c r="B102" s="207"/>
      <c r="C102" s="208" t="s">
        <v>89</v>
      </c>
      <c r="D102" s="326">
        <f t="shared" si="17"/>
        <v>0</v>
      </c>
      <c r="E102" s="327"/>
      <c r="F102" s="327"/>
      <c r="G102" s="326"/>
      <c r="H102" s="326"/>
      <c r="I102" s="327"/>
      <c r="J102" s="209">
        <f t="shared" si="16"/>
        <v>0</v>
      </c>
      <c r="K102" s="210"/>
      <c r="L102" s="210"/>
      <c r="M102" s="209"/>
      <c r="N102" s="209"/>
      <c r="O102" s="210"/>
    </row>
    <row r="103" spans="1:15" ht="13.5" thickTop="1" thickBot="1">
      <c r="A103" s="852"/>
      <c r="B103" s="207"/>
      <c r="C103" s="208" t="s">
        <v>90</v>
      </c>
      <c r="D103" s="326">
        <f t="shared" si="17"/>
        <v>0</v>
      </c>
      <c r="E103" s="327"/>
      <c r="F103" s="327"/>
      <c r="G103" s="327"/>
      <c r="H103" s="339"/>
      <c r="I103" s="326"/>
      <c r="J103" s="209">
        <f t="shared" si="16"/>
        <v>0</v>
      </c>
      <c r="K103" s="210"/>
      <c r="L103" s="210"/>
      <c r="M103" s="210"/>
      <c r="N103" s="209"/>
      <c r="O103" s="209"/>
    </row>
    <row r="104" spans="1:15" ht="13.5" thickTop="1" thickBot="1">
      <c r="A104" s="852"/>
      <c r="B104" s="207"/>
      <c r="C104" s="208" t="s">
        <v>91</v>
      </c>
      <c r="D104" s="326">
        <f t="shared" si="17"/>
        <v>0</v>
      </c>
      <c r="E104" s="327"/>
      <c r="F104" s="327"/>
      <c r="G104" s="327"/>
      <c r="H104" s="327"/>
      <c r="I104" s="326"/>
      <c r="J104" s="209">
        <f t="shared" si="16"/>
        <v>0</v>
      </c>
      <c r="K104" s="210"/>
      <c r="L104" s="210"/>
      <c r="M104" s="210"/>
      <c r="N104" s="210"/>
      <c r="O104" s="209"/>
    </row>
    <row r="105" spans="1:15" ht="13.5" thickTop="1" thickBot="1">
      <c r="A105" s="852"/>
      <c r="B105" s="182" t="s">
        <v>201</v>
      </c>
      <c r="C105" s="182" t="s">
        <v>97</v>
      </c>
      <c r="D105" s="324">
        <f t="shared" si="17"/>
        <v>0</v>
      </c>
      <c r="E105" s="324"/>
      <c r="F105" s="324"/>
      <c r="G105" s="324"/>
      <c r="H105" s="324"/>
      <c r="I105" s="324"/>
      <c r="J105" s="196">
        <f t="shared" si="16"/>
        <v>0</v>
      </c>
      <c r="K105" s="196"/>
      <c r="L105" s="196"/>
      <c r="M105" s="196"/>
      <c r="N105" s="185"/>
      <c r="O105" s="196"/>
    </row>
    <row r="106" spans="1:15" ht="13.5" thickTop="1" thickBot="1">
      <c r="A106" s="852"/>
      <c r="B106" s="182" t="s">
        <v>202</v>
      </c>
      <c r="C106" s="182" t="s">
        <v>99</v>
      </c>
      <c r="D106" s="324">
        <f t="shared" si="17"/>
        <v>0</v>
      </c>
      <c r="E106" s="324"/>
      <c r="F106" s="324"/>
      <c r="G106" s="324"/>
      <c r="H106" s="323"/>
      <c r="I106" s="324"/>
      <c r="J106" s="196">
        <f t="shared" si="16"/>
        <v>0</v>
      </c>
      <c r="K106" s="196"/>
      <c r="L106" s="196"/>
      <c r="M106" s="196"/>
      <c r="N106" s="196"/>
      <c r="O106" s="196"/>
    </row>
    <row r="107" spans="1:15" ht="13.5" thickTop="1" thickBot="1">
      <c r="A107" s="852"/>
      <c r="B107" s="204" t="s">
        <v>234</v>
      </c>
      <c r="C107" s="595" t="s">
        <v>235</v>
      </c>
      <c r="D107" s="325">
        <f t="shared" ref="D107:D118" si="18">SUM(E107:I107)</f>
        <v>0</v>
      </c>
      <c r="E107" s="284"/>
      <c r="F107" s="325"/>
      <c r="G107" s="284"/>
      <c r="H107" s="339"/>
      <c r="I107" s="284"/>
      <c r="J107" s="206">
        <f t="shared" ref="J107:J118" si="19">SUM(K107:O107)</f>
        <v>0</v>
      </c>
      <c r="K107" s="284"/>
      <c r="L107" s="325"/>
      <c r="M107" s="214"/>
      <c r="N107" s="339"/>
      <c r="O107" s="214"/>
    </row>
    <row r="108" spans="1:15" ht="13.5" thickTop="1" thickBot="1">
      <c r="A108" s="852"/>
      <c r="B108" s="182" t="s">
        <v>236</v>
      </c>
      <c r="C108" s="182" t="s">
        <v>88</v>
      </c>
      <c r="D108" s="324">
        <f t="shared" si="18"/>
        <v>0</v>
      </c>
      <c r="E108" s="324"/>
      <c r="F108" s="324"/>
      <c r="G108" s="324"/>
      <c r="H108" s="324"/>
      <c r="I108" s="324"/>
      <c r="J108" s="196">
        <f t="shared" si="19"/>
        <v>0</v>
      </c>
      <c r="K108" s="196"/>
      <c r="L108" s="196"/>
      <c r="M108" s="196"/>
      <c r="N108" s="196"/>
      <c r="O108" s="196"/>
    </row>
    <row r="109" spans="1:15" ht="13.5" thickTop="1" thickBot="1">
      <c r="A109" s="852"/>
      <c r="B109" s="207"/>
      <c r="C109" s="208" t="s">
        <v>89</v>
      </c>
      <c r="D109" s="326">
        <f t="shared" si="18"/>
        <v>0</v>
      </c>
      <c r="E109" s="327"/>
      <c r="F109" s="327"/>
      <c r="G109" s="326"/>
      <c r="H109" s="339"/>
      <c r="I109" s="327"/>
      <c r="J109" s="209">
        <f t="shared" si="19"/>
        <v>0</v>
      </c>
      <c r="K109" s="210"/>
      <c r="L109" s="210"/>
      <c r="M109" s="209"/>
      <c r="N109" s="339"/>
      <c r="O109" s="210"/>
    </row>
    <row r="110" spans="1:15" ht="13.5" thickTop="1" thickBot="1">
      <c r="A110" s="852"/>
      <c r="B110" s="207"/>
      <c r="C110" s="208" t="s">
        <v>90</v>
      </c>
      <c r="D110" s="326">
        <f t="shared" si="18"/>
        <v>0</v>
      </c>
      <c r="E110" s="327"/>
      <c r="F110" s="327"/>
      <c r="G110" s="327"/>
      <c r="H110" s="339"/>
      <c r="I110" s="326"/>
      <c r="J110" s="209">
        <f t="shared" si="19"/>
        <v>0</v>
      </c>
      <c r="K110" s="210"/>
      <c r="L110" s="210"/>
      <c r="M110" s="210"/>
      <c r="N110" s="699"/>
      <c r="O110" s="209"/>
    </row>
    <row r="111" spans="1:15" ht="13.5" thickTop="1" thickBot="1">
      <c r="A111" s="852"/>
      <c r="B111" s="207"/>
      <c r="C111" s="208" t="s">
        <v>91</v>
      </c>
      <c r="D111" s="326">
        <f t="shared" si="18"/>
        <v>0</v>
      </c>
      <c r="E111" s="327"/>
      <c r="F111" s="327"/>
      <c r="G111" s="327"/>
      <c r="H111" s="327"/>
      <c r="I111" s="326"/>
      <c r="J111" s="209">
        <f t="shared" si="19"/>
        <v>0</v>
      </c>
      <c r="K111" s="210"/>
      <c r="L111" s="210"/>
      <c r="M111" s="210"/>
      <c r="N111" s="210"/>
      <c r="O111" s="209"/>
    </row>
    <row r="112" spans="1:15" ht="13.5" thickTop="1" thickBot="1">
      <c r="A112" s="852"/>
      <c r="B112" s="182" t="s">
        <v>237</v>
      </c>
      <c r="C112" s="182" t="s">
        <v>93</v>
      </c>
      <c r="D112" s="324">
        <f t="shared" si="18"/>
        <v>0</v>
      </c>
      <c r="E112" s="324"/>
      <c r="F112" s="324"/>
      <c r="G112" s="328"/>
      <c r="H112" s="328"/>
      <c r="I112" s="324"/>
      <c r="J112" s="196">
        <f t="shared" si="19"/>
        <v>0</v>
      </c>
      <c r="K112" s="196"/>
      <c r="L112" s="196"/>
      <c r="M112" s="211"/>
      <c r="N112" s="211"/>
      <c r="O112" s="196"/>
    </row>
    <row r="113" spans="1:15" ht="13.5" thickTop="1" thickBot="1">
      <c r="A113" s="852"/>
      <c r="B113" s="182" t="s">
        <v>238</v>
      </c>
      <c r="C113" s="182" t="s">
        <v>95</v>
      </c>
      <c r="D113" s="330">
        <f t="shared" si="18"/>
        <v>0</v>
      </c>
      <c r="E113" s="380"/>
      <c r="F113" s="331"/>
      <c r="G113" s="326"/>
      <c r="H113" s="326"/>
      <c r="I113" s="324"/>
      <c r="J113" s="213">
        <f t="shared" si="19"/>
        <v>0</v>
      </c>
      <c r="K113" s="383"/>
      <c r="L113" s="320"/>
      <c r="M113" s="209"/>
      <c r="N113" s="209"/>
      <c r="O113" s="196"/>
    </row>
    <row r="114" spans="1:15" ht="13.5" thickTop="1" thickBot="1">
      <c r="A114" s="852"/>
      <c r="B114" s="207"/>
      <c r="C114" s="208" t="s">
        <v>89</v>
      </c>
      <c r="D114" s="326">
        <f t="shared" si="18"/>
        <v>0</v>
      </c>
      <c r="E114" s="327"/>
      <c r="F114" s="327"/>
      <c r="G114" s="326"/>
      <c r="H114" s="326"/>
      <c r="I114" s="327"/>
      <c r="J114" s="209">
        <f t="shared" si="19"/>
        <v>0</v>
      </c>
      <c r="K114" s="210"/>
      <c r="L114" s="210"/>
      <c r="M114" s="209"/>
      <c r="N114" s="209"/>
      <c r="O114" s="210"/>
    </row>
    <row r="115" spans="1:15" ht="13.5" thickTop="1" thickBot="1">
      <c r="A115" s="852"/>
      <c r="B115" s="207"/>
      <c r="C115" s="208" t="s">
        <v>90</v>
      </c>
      <c r="D115" s="326">
        <f t="shared" si="18"/>
        <v>0</v>
      </c>
      <c r="E115" s="327"/>
      <c r="F115" s="327"/>
      <c r="G115" s="327"/>
      <c r="H115" s="326"/>
      <c r="I115" s="326"/>
      <c r="J115" s="209">
        <f t="shared" si="19"/>
        <v>0</v>
      </c>
      <c r="K115" s="210"/>
      <c r="L115" s="210"/>
      <c r="M115" s="210"/>
      <c r="N115" s="209"/>
      <c r="O115" s="209"/>
    </row>
    <row r="116" spans="1:15" ht="13.5" thickTop="1" thickBot="1">
      <c r="A116" s="852"/>
      <c r="B116" s="207"/>
      <c r="C116" s="208" t="s">
        <v>91</v>
      </c>
      <c r="D116" s="326">
        <f t="shared" si="18"/>
        <v>0</v>
      </c>
      <c r="E116" s="327"/>
      <c r="F116" s="327"/>
      <c r="G116" s="327"/>
      <c r="H116" s="327"/>
      <c r="I116" s="326"/>
      <c r="J116" s="209">
        <f t="shared" si="19"/>
        <v>0</v>
      </c>
      <c r="K116" s="210"/>
      <c r="L116" s="210"/>
      <c r="M116" s="210"/>
      <c r="N116" s="210"/>
      <c r="O116" s="209"/>
    </row>
    <row r="117" spans="1:15" ht="13.5" thickTop="1" thickBot="1">
      <c r="A117" s="852"/>
      <c r="B117" s="182" t="s">
        <v>239</v>
      </c>
      <c r="C117" s="182" t="s">
        <v>97</v>
      </c>
      <c r="D117" s="324">
        <f t="shared" si="18"/>
        <v>0</v>
      </c>
      <c r="E117" s="324"/>
      <c r="F117" s="324"/>
      <c r="G117" s="324"/>
      <c r="H117" s="324"/>
      <c r="I117" s="324"/>
      <c r="J117" s="196">
        <f t="shared" si="19"/>
        <v>0</v>
      </c>
      <c r="K117" s="196"/>
      <c r="L117" s="196"/>
      <c r="M117" s="196"/>
      <c r="N117" s="185"/>
      <c r="O117" s="196"/>
    </row>
    <row r="118" spans="1:15" ht="13.5" thickTop="1" thickBot="1">
      <c r="A118" s="852"/>
      <c r="B118" s="182" t="s">
        <v>240</v>
      </c>
      <c r="C118" s="182" t="s">
        <v>99</v>
      </c>
      <c r="D118" s="324">
        <f t="shared" si="18"/>
        <v>0</v>
      </c>
      <c r="E118" s="324"/>
      <c r="F118" s="324"/>
      <c r="G118" s="324"/>
      <c r="H118" s="323"/>
      <c r="I118" s="324"/>
      <c r="J118" s="196">
        <f t="shared" si="19"/>
        <v>0</v>
      </c>
      <c r="K118" s="196"/>
      <c r="L118" s="196"/>
      <c r="M118" s="196"/>
      <c r="N118" s="196"/>
      <c r="O118" s="196"/>
    </row>
    <row r="119" spans="1:15" ht="13.5" thickTop="1" thickBot="1">
      <c r="A119" s="852"/>
      <c r="B119" s="204" t="s">
        <v>242</v>
      </c>
      <c r="C119" s="595" t="s">
        <v>248</v>
      </c>
      <c r="D119" s="325">
        <f t="shared" ref="D119:D130" si="20">SUM(E119:I119)</f>
        <v>0</v>
      </c>
      <c r="E119" s="284"/>
      <c r="F119" s="325"/>
      <c r="G119" s="284"/>
      <c r="H119" s="339"/>
      <c r="I119" s="284"/>
      <c r="J119" s="206">
        <f t="shared" ref="J119:J130" si="21">SUM(K119:O119)</f>
        <v>0</v>
      </c>
      <c r="K119" s="284"/>
      <c r="L119" s="325"/>
      <c r="M119" s="214"/>
      <c r="N119" s="339"/>
      <c r="O119" s="214"/>
    </row>
    <row r="120" spans="1:15" ht="13.5" thickTop="1" thickBot="1">
      <c r="A120" s="852"/>
      <c r="B120" s="182" t="s">
        <v>243</v>
      </c>
      <c r="C120" s="182" t="s">
        <v>88</v>
      </c>
      <c r="D120" s="324">
        <f t="shared" si="20"/>
        <v>0</v>
      </c>
      <c r="E120" s="324"/>
      <c r="F120" s="324"/>
      <c r="G120" s="324"/>
      <c r="H120" s="324"/>
      <c r="I120" s="324"/>
      <c r="J120" s="196">
        <f t="shared" si="21"/>
        <v>0</v>
      </c>
      <c r="K120" s="196"/>
      <c r="L120" s="196"/>
      <c r="M120" s="196"/>
      <c r="N120" s="196"/>
      <c r="O120" s="196"/>
    </row>
    <row r="121" spans="1:15" ht="13.5" thickTop="1" thickBot="1">
      <c r="A121" s="852"/>
      <c r="B121" s="207"/>
      <c r="C121" s="208" t="s">
        <v>89</v>
      </c>
      <c r="D121" s="326">
        <f t="shared" si="20"/>
        <v>0</v>
      </c>
      <c r="E121" s="327"/>
      <c r="F121" s="327"/>
      <c r="G121" s="326"/>
      <c r="H121" s="339"/>
      <c r="I121" s="327"/>
      <c r="J121" s="209">
        <f t="shared" si="21"/>
        <v>0</v>
      </c>
      <c r="K121" s="210"/>
      <c r="L121" s="210"/>
      <c r="M121" s="209"/>
      <c r="N121" s="339"/>
      <c r="O121" s="210"/>
    </row>
    <row r="122" spans="1:15" ht="13.5" thickTop="1" thickBot="1">
      <c r="A122" s="852"/>
      <c r="B122" s="207"/>
      <c r="C122" s="208" t="s">
        <v>90</v>
      </c>
      <c r="D122" s="326">
        <f t="shared" si="20"/>
        <v>0</v>
      </c>
      <c r="E122" s="327"/>
      <c r="F122" s="327"/>
      <c r="G122" s="327"/>
      <c r="H122" s="339"/>
      <c r="I122" s="326"/>
      <c r="J122" s="209">
        <f t="shared" si="21"/>
        <v>0</v>
      </c>
      <c r="K122" s="210"/>
      <c r="L122" s="210"/>
      <c r="M122" s="210"/>
      <c r="N122" s="699"/>
      <c r="O122" s="209"/>
    </row>
    <row r="123" spans="1:15" ht="13.5" thickTop="1" thickBot="1">
      <c r="A123" s="852"/>
      <c r="B123" s="207"/>
      <c r="C123" s="208" t="s">
        <v>91</v>
      </c>
      <c r="D123" s="326">
        <f t="shared" si="20"/>
        <v>0</v>
      </c>
      <c r="E123" s="327"/>
      <c r="F123" s="327"/>
      <c r="G123" s="327"/>
      <c r="H123" s="327"/>
      <c r="I123" s="326"/>
      <c r="J123" s="209">
        <f t="shared" si="21"/>
        <v>0</v>
      </c>
      <c r="K123" s="210"/>
      <c r="L123" s="210"/>
      <c r="M123" s="210"/>
      <c r="N123" s="210"/>
      <c r="O123" s="209"/>
    </row>
    <row r="124" spans="1:15" ht="13.5" thickTop="1" thickBot="1">
      <c r="A124" s="852"/>
      <c r="B124" s="182" t="s">
        <v>244</v>
      </c>
      <c r="C124" s="182" t="s">
        <v>93</v>
      </c>
      <c r="D124" s="324">
        <f t="shared" si="20"/>
        <v>0</v>
      </c>
      <c r="E124" s="324"/>
      <c r="F124" s="324"/>
      <c r="G124" s="328"/>
      <c r="H124" s="328"/>
      <c r="I124" s="324"/>
      <c r="J124" s="196">
        <f t="shared" si="21"/>
        <v>0</v>
      </c>
      <c r="K124" s="196"/>
      <c r="L124" s="196"/>
      <c r="M124" s="211"/>
      <c r="N124" s="211"/>
      <c r="O124" s="196"/>
    </row>
    <row r="125" spans="1:15" ht="13.5" thickTop="1" thickBot="1">
      <c r="A125" s="852"/>
      <c r="B125" s="182" t="s">
        <v>245</v>
      </c>
      <c r="C125" s="182" t="s">
        <v>95</v>
      </c>
      <c r="D125" s="330">
        <f t="shared" si="20"/>
        <v>0</v>
      </c>
      <c r="E125" s="380"/>
      <c r="F125" s="331"/>
      <c r="G125" s="326"/>
      <c r="H125" s="326"/>
      <c r="I125" s="324"/>
      <c r="J125" s="213">
        <f t="shared" si="21"/>
        <v>0</v>
      </c>
      <c r="K125" s="383"/>
      <c r="L125" s="320"/>
      <c r="M125" s="209"/>
      <c r="N125" s="209"/>
      <c r="O125" s="196"/>
    </row>
    <row r="126" spans="1:15" ht="13.5" thickTop="1" thickBot="1">
      <c r="A126" s="852"/>
      <c r="B126" s="207"/>
      <c r="C126" s="208" t="s">
        <v>89</v>
      </c>
      <c r="D126" s="326">
        <f t="shared" si="20"/>
        <v>0</v>
      </c>
      <c r="E126" s="327"/>
      <c r="F126" s="327"/>
      <c r="G126" s="326"/>
      <c r="H126" s="326"/>
      <c r="I126" s="327"/>
      <c r="J126" s="209">
        <f t="shared" si="21"/>
        <v>0</v>
      </c>
      <c r="K126" s="210"/>
      <c r="L126" s="210"/>
      <c r="M126" s="209"/>
      <c r="N126" s="209"/>
      <c r="O126" s="210"/>
    </row>
    <row r="127" spans="1:15" ht="13.5" thickTop="1" thickBot="1">
      <c r="A127" s="852"/>
      <c r="B127" s="207"/>
      <c r="C127" s="208" t="s">
        <v>90</v>
      </c>
      <c r="D127" s="326">
        <f t="shared" si="20"/>
        <v>0</v>
      </c>
      <c r="E127" s="327"/>
      <c r="F127" s="327"/>
      <c r="G127" s="327"/>
      <c r="H127" s="326"/>
      <c r="I127" s="326"/>
      <c r="J127" s="209">
        <f t="shared" si="21"/>
        <v>0</v>
      </c>
      <c r="K127" s="210"/>
      <c r="L127" s="210"/>
      <c r="M127" s="210"/>
      <c r="N127" s="209"/>
      <c r="O127" s="209"/>
    </row>
    <row r="128" spans="1:15" ht="13.5" thickTop="1" thickBot="1">
      <c r="A128" s="852"/>
      <c r="B128" s="207"/>
      <c r="C128" s="208" t="s">
        <v>91</v>
      </c>
      <c r="D128" s="326">
        <f t="shared" si="20"/>
        <v>0</v>
      </c>
      <c r="E128" s="327"/>
      <c r="F128" s="327"/>
      <c r="G128" s="327"/>
      <c r="H128" s="327"/>
      <c r="I128" s="326"/>
      <c r="J128" s="209">
        <f t="shared" si="21"/>
        <v>0</v>
      </c>
      <c r="K128" s="210"/>
      <c r="L128" s="210"/>
      <c r="M128" s="210"/>
      <c r="N128" s="210"/>
      <c r="O128" s="209"/>
    </row>
    <row r="129" spans="1:16" ht="13.5" thickTop="1" thickBot="1">
      <c r="A129" s="852"/>
      <c r="B129" s="182" t="s">
        <v>246</v>
      </c>
      <c r="C129" s="182" t="s">
        <v>97</v>
      </c>
      <c r="D129" s="324">
        <f t="shared" si="20"/>
        <v>0</v>
      </c>
      <c r="E129" s="324"/>
      <c r="F129" s="324"/>
      <c r="G129" s="324"/>
      <c r="H129" s="324"/>
      <c r="I129" s="324"/>
      <c r="J129" s="196">
        <f t="shared" si="21"/>
        <v>0</v>
      </c>
      <c r="K129" s="196"/>
      <c r="L129" s="196"/>
      <c r="M129" s="196"/>
      <c r="N129" s="185"/>
      <c r="O129" s="196"/>
    </row>
    <row r="130" spans="1:16" ht="13.5" thickTop="1" thickBot="1">
      <c r="A130" s="852"/>
      <c r="B130" s="182" t="s">
        <v>247</v>
      </c>
      <c r="C130" s="182" t="s">
        <v>99</v>
      </c>
      <c r="D130" s="324">
        <f t="shared" si="20"/>
        <v>0</v>
      </c>
      <c r="E130" s="324"/>
      <c r="F130" s="324"/>
      <c r="G130" s="324"/>
      <c r="H130" s="323"/>
      <c r="I130" s="324"/>
      <c r="J130" s="196">
        <f t="shared" si="21"/>
        <v>0</v>
      </c>
      <c r="K130" s="196"/>
      <c r="L130" s="196"/>
      <c r="M130" s="196"/>
      <c r="N130" s="196"/>
      <c r="O130" s="196"/>
    </row>
    <row r="131" spans="1:16" ht="13.5" thickTop="1" thickBot="1">
      <c r="A131" s="852"/>
      <c r="B131" s="204" t="s">
        <v>250</v>
      </c>
      <c r="C131" s="595" t="s">
        <v>249</v>
      </c>
      <c r="D131" s="325">
        <f t="shared" ref="D131:D142" si="22">SUM(E131:I131)</f>
        <v>0</v>
      </c>
      <c r="E131" s="284"/>
      <c r="F131" s="325"/>
      <c r="G131" s="284"/>
      <c r="H131" s="339"/>
      <c r="I131" s="284"/>
      <c r="J131" s="206">
        <f t="shared" ref="J131:J142" si="23">SUM(K131:O131)</f>
        <v>0</v>
      </c>
      <c r="K131" s="284"/>
      <c r="L131" s="325"/>
      <c r="M131" s="214"/>
      <c r="N131" s="339"/>
      <c r="O131" s="214"/>
    </row>
    <row r="132" spans="1:16" ht="13.5" thickTop="1" thickBot="1">
      <c r="A132" s="852"/>
      <c r="B132" s="182" t="s">
        <v>251</v>
      </c>
      <c r="C132" s="182" t="s">
        <v>88</v>
      </c>
      <c r="D132" s="324">
        <f t="shared" si="22"/>
        <v>0</v>
      </c>
      <c r="E132" s="324"/>
      <c r="F132" s="324"/>
      <c r="G132" s="324"/>
      <c r="H132" s="324"/>
      <c r="I132" s="324"/>
      <c r="J132" s="196">
        <f t="shared" si="23"/>
        <v>0</v>
      </c>
      <c r="K132" s="196"/>
      <c r="L132" s="196"/>
      <c r="M132" s="196"/>
      <c r="N132" s="196"/>
      <c r="O132" s="196"/>
    </row>
    <row r="133" spans="1:16" ht="13.5" thickTop="1" thickBot="1">
      <c r="A133" s="852"/>
      <c r="B133" s="207"/>
      <c r="C133" s="208" t="s">
        <v>89</v>
      </c>
      <c r="D133" s="326">
        <f t="shared" si="22"/>
        <v>0</v>
      </c>
      <c r="E133" s="327"/>
      <c r="F133" s="327"/>
      <c r="G133" s="326"/>
      <c r="H133" s="339"/>
      <c r="I133" s="327"/>
      <c r="J133" s="209">
        <f t="shared" si="23"/>
        <v>0</v>
      </c>
      <c r="K133" s="210"/>
      <c r="L133" s="210"/>
      <c r="M133" s="209"/>
      <c r="N133" s="339"/>
      <c r="O133" s="210"/>
    </row>
    <row r="134" spans="1:16" ht="13.5" thickTop="1" thickBot="1">
      <c r="A134" s="852"/>
      <c r="B134" s="207"/>
      <c r="C134" s="208" t="s">
        <v>90</v>
      </c>
      <c r="D134" s="326">
        <f t="shared" si="22"/>
        <v>0</v>
      </c>
      <c r="E134" s="327"/>
      <c r="F134" s="327"/>
      <c r="G134" s="327"/>
      <c r="H134" s="339"/>
      <c r="I134" s="326"/>
      <c r="J134" s="209">
        <f t="shared" si="23"/>
        <v>0</v>
      </c>
      <c r="K134" s="210"/>
      <c r="L134" s="210"/>
      <c r="M134" s="210"/>
      <c r="N134" s="699"/>
      <c r="O134" s="209"/>
    </row>
    <row r="135" spans="1:16" ht="13.5" thickTop="1" thickBot="1">
      <c r="A135" s="852"/>
      <c r="B135" s="207"/>
      <c r="C135" s="208" t="s">
        <v>91</v>
      </c>
      <c r="D135" s="326">
        <f t="shared" si="22"/>
        <v>0</v>
      </c>
      <c r="E135" s="327"/>
      <c r="F135" s="327"/>
      <c r="G135" s="327"/>
      <c r="H135" s="327"/>
      <c r="I135" s="326"/>
      <c r="J135" s="209">
        <f t="shared" si="23"/>
        <v>0</v>
      </c>
      <c r="K135" s="210"/>
      <c r="L135" s="210"/>
      <c r="M135" s="210"/>
      <c r="N135" s="210"/>
      <c r="O135" s="209"/>
    </row>
    <row r="136" spans="1:16" ht="13.5" thickTop="1" thickBot="1">
      <c r="A136" s="852"/>
      <c r="B136" s="182" t="s">
        <v>252</v>
      </c>
      <c r="C136" s="182" t="s">
        <v>93</v>
      </c>
      <c r="D136" s="324">
        <f t="shared" si="22"/>
        <v>0</v>
      </c>
      <c r="E136" s="324"/>
      <c r="F136" s="324"/>
      <c r="G136" s="328"/>
      <c r="H136" s="328"/>
      <c r="I136" s="324"/>
      <c r="J136" s="196">
        <f t="shared" si="23"/>
        <v>0</v>
      </c>
      <c r="K136" s="196"/>
      <c r="L136" s="196"/>
      <c r="M136" s="211"/>
      <c r="N136" s="211"/>
      <c r="O136" s="196"/>
    </row>
    <row r="137" spans="1:16" ht="13.5" thickTop="1" thickBot="1">
      <c r="A137" s="852"/>
      <c r="B137" s="182" t="s">
        <v>253</v>
      </c>
      <c r="C137" s="182" t="s">
        <v>95</v>
      </c>
      <c r="D137" s="330">
        <f t="shared" si="22"/>
        <v>0</v>
      </c>
      <c r="E137" s="380"/>
      <c r="F137" s="331"/>
      <c r="G137" s="326"/>
      <c r="H137" s="326"/>
      <c r="I137" s="324"/>
      <c r="J137" s="213">
        <f t="shared" si="23"/>
        <v>0</v>
      </c>
      <c r="K137" s="383"/>
      <c r="L137" s="320"/>
      <c r="M137" s="209"/>
      <c r="N137" s="209"/>
      <c r="O137" s="196"/>
    </row>
    <row r="138" spans="1:16" ht="13.5" thickTop="1" thickBot="1">
      <c r="A138" s="852"/>
      <c r="B138" s="207"/>
      <c r="C138" s="208" t="s">
        <v>89</v>
      </c>
      <c r="D138" s="326">
        <f t="shared" si="22"/>
        <v>0</v>
      </c>
      <c r="E138" s="327"/>
      <c r="F138" s="327"/>
      <c r="G138" s="326"/>
      <c r="H138" s="326"/>
      <c r="I138" s="327"/>
      <c r="J138" s="209">
        <f t="shared" si="23"/>
        <v>0</v>
      </c>
      <c r="K138" s="210"/>
      <c r="L138" s="210"/>
      <c r="M138" s="209"/>
      <c r="N138" s="209"/>
      <c r="O138" s="210"/>
    </row>
    <row r="139" spans="1:16" ht="13.5" thickTop="1" thickBot="1">
      <c r="A139" s="852"/>
      <c r="B139" s="207"/>
      <c r="C139" s="208" t="s">
        <v>90</v>
      </c>
      <c r="D139" s="326">
        <f t="shared" si="22"/>
        <v>0</v>
      </c>
      <c r="E139" s="327"/>
      <c r="F139" s="327"/>
      <c r="G139" s="327"/>
      <c r="H139" s="326"/>
      <c r="I139" s="326"/>
      <c r="J139" s="209">
        <f t="shared" si="23"/>
        <v>0</v>
      </c>
      <c r="K139" s="210"/>
      <c r="L139" s="210"/>
      <c r="M139" s="210"/>
      <c r="N139" s="209"/>
      <c r="O139" s="209"/>
    </row>
    <row r="140" spans="1:16" ht="13.5" thickTop="1" thickBot="1">
      <c r="A140" s="852"/>
      <c r="B140" s="207"/>
      <c r="C140" s="208" t="s">
        <v>91</v>
      </c>
      <c r="D140" s="326">
        <f t="shared" si="22"/>
        <v>0</v>
      </c>
      <c r="E140" s="327"/>
      <c r="F140" s="327"/>
      <c r="G140" s="327"/>
      <c r="H140" s="327"/>
      <c r="I140" s="326"/>
      <c r="J140" s="209">
        <f t="shared" si="23"/>
        <v>0</v>
      </c>
      <c r="K140" s="210"/>
      <c r="L140" s="210"/>
      <c r="M140" s="210"/>
      <c r="N140" s="210"/>
      <c r="O140" s="209"/>
    </row>
    <row r="141" spans="1:16" ht="13.5" thickTop="1" thickBot="1">
      <c r="A141" s="852"/>
      <c r="B141" s="182" t="s">
        <v>254</v>
      </c>
      <c r="C141" s="182" t="s">
        <v>97</v>
      </c>
      <c r="D141" s="324">
        <f t="shared" si="22"/>
        <v>0</v>
      </c>
      <c r="E141" s="324"/>
      <c r="F141" s="324"/>
      <c r="G141" s="324"/>
      <c r="H141" s="324"/>
      <c r="I141" s="324"/>
      <c r="J141" s="196">
        <f t="shared" si="23"/>
        <v>0</v>
      </c>
      <c r="K141" s="196"/>
      <c r="L141" s="196"/>
      <c r="M141" s="196"/>
      <c r="N141" s="185"/>
      <c r="O141" s="196"/>
    </row>
    <row r="142" spans="1:16" ht="13.5" thickTop="1" thickBot="1">
      <c r="A142" s="852"/>
      <c r="B142" s="182" t="s">
        <v>255</v>
      </c>
      <c r="C142" s="182" t="s">
        <v>99</v>
      </c>
      <c r="D142" s="324">
        <f t="shared" si="22"/>
        <v>0</v>
      </c>
      <c r="E142" s="324"/>
      <c r="F142" s="324"/>
      <c r="G142" s="324"/>
      <c r="H142" s="323"/>
      <c r="I142" s="324"/>
      <c r="J142" s="196">
        <f t="shared" si="23"/>
        <v>0</v>
      </c>
      <c r="K142" s="196"/>
      <c r="L142" s="196"/>
      <c r="M142" s="196"/>
      <c r="N142" s="196"/>
      <c r="O142" s="196"/>
    </row>
    <row r="143" spans="1:16" ht="12.75" customHeight="1" thickTop="1" thickBot="1">
      <c r="A143" s="852"/>
      <c r="B143" s="257" t="s">
        <v>100</v>
      </c>
      <c r="C143" s="257" t="s">
        <v>101</v>
      </c>
      <c r="D143" s="285">
        <f>SUM(E143:I143)</f>
        <v>298120.8</v>
      </c>
      <c r="E143" s="386">
        <f>SUM(E144:E147)</f>
        <v>0</v>
      </c>
      <c r="F143" s="386">
        <f>SUM(F144:F147)</f>
        <v>97340</v>
      </c>
      <c r="G143" s="386">
        <f>SUM(G144:G147)</f>
        <v>3939.2</v>
      </c>
      <c r="H143" s="386">
        <f>SUM(H144:H147)</f>
        <v>82819.8</v>
      </c>
      <c r="I143" s="285">
        <f>SUM(I144:I147)</f>
        <v>114021.8</v>
      </c>
      <c r="J143" s="617">
        <f>SUM(K143:O143)</f>
        <v>261103.96099999995</v>
      </c>
      <c r="K143" s="386">
        <f>SUM(K144:K147)</f>
        <v>0</v>
      </c>
      <c r="L143" s="618">
        <f>SUM(L144:L147)</f>
        <v>90100.835999999996</v>
      </c>
      <c r="M143" s="618">
        <f>SUM(M144:M147)</f>
        <v>2392.2199999999998</v>
      </c>
      <c r="N143" s="618">
        <f>SUM(N144:N147)</f>
        <v>59806.152999999991</v>
      </c>
      <c r="O143" s="617">
        <f>SUM(O144:O147)</f>
        <v>108804.75199999999</v>
      </c>
    </row>
    <row r="144" spans="1:16" ht="12.75" customHeight="1" thickTop="1" thickBot="1">
      <c r="A144" s="852"/>
      <c r="B144" s="249" t="s">
        <v>102</v>
      </c>
      <c r="C144" s="250" t="s">
        <v>103</v>
      </c>
      <c r="D144" s="358">
        <f>SUM(E144:I144)</f>
        <v>67606.551120000004</v>
      </c>
      <c r="E144" s="252"/>
      <c r="F144" s="287"/>
      <c r="G144" s="287"/>
      <c r="H144" s="287"/>
      <c r="I144" s="288">
        <v>67606.551120000004</v>
      </c>
      <c r="J144" s="358">
        <f>SUM(K144:O144)</f>
        <v>74575.376999999993</v>
      </c>
      <c r="K144" s="252"/>
      <c r="L144" s="287"/>
      <c r="M144" s="287"/>
      <c r="N144" s="287"/>
      <c r="O144" s="623">
        <v>74575.376999999993</v>
      </c>
      <c r="P144" s="24"/>
    </row>
    <row r="145" spans="1:16" ht="12.75" customHeight="1" thickTop="1" thickBot="1">
      <c r="A145" s="852"/>
      <c r="B145" s="249" t="s">
        <v>104</v>
      </c>
      <c r="C145" s="250" t="s">
        <v>206</v>
      </c>
      <c r="D145" s="358">
        <f>SUM(E145:I145)</f>
        <v>0</v>
      </c>
      <c r="E145" s="252"/>
      <c r="F145" s="287"/>
      <c r="G145" s="287"/>
      <c r="H145" s="287"/>
      <c r="I145" s="288"/>
      <c r="J145" s="358">
        <f>SUM(K145:O145)</f>
        <v>0</v>
      </c>
      <c r="K145" s="252"/>
      <c r="L145" s="287"/>
      <c r="M145" s="287"/>
      <c r="N145" s="287"/>
      <c r="O145" s="623"/>
      <c r="P145" s="24"/>
    </row>
    <row r="146" spans="1:16" ht="12.75" customHeight="1" thickTop="1" thickBot="1">
      <c r="A146" s="852"/>
      <c r="B146" s="249" t="s">
        <v>106</v>
      </c>
      <c r="C146" s="250" t="s">
        <v>105</v>
      </c>
      <c r="D146" s="358">
        <f>SUM(E146:I146)</f>
        <v>230514.24888</v>
      </c>
      <c r="E146" s="289"/>
      <c r="F146" s="290">
        <v>97340</v>
      </c>
      <c r="G146" s="290">
        <v>3939.2</v>
      </c>
      <c r="H146" s="290">
        <v>82819.8</v>
      </c>
      <c r="I146" s="290">
        <v>46415.248879999999</v>
      </c>
      <c r="J146" s="358">
        <f>SUM(K146:O146)</f>
        <v>162817.65699999998</v>
      </c>
      <c r="K146" s="289"/>
      <c r="L146" s="290">
        <v>90100.835999999996</v>
      </c>
      <c r="M146" s="290">
        <v>2172.8869999999997</v>
      </c>
      <c r="N146" s="290">
        <v>41844.278999999995</v>
      </c>
      <c r="O146" s="290">
        <v>28699.654999999999</v>
      </c>
      <c r="P146" s="24"/>
    </row>
    <row r="147" spans="1:16" ht="12.75" customHeight="1" thickTop="1" thickBot="1">
      <c r="A147" s="852"/>
      <c r="B147" s="249" t="s">
        <v>207</v>
      </c>
      <c r="C147" s="250" t="s">
        <v>107</v>
      </c>
      <c r="D147" s="358">
        <f>SUM(E147:I147)</f>
        <v>0</v>
      </c>
      <c r="E147" s="600"/>
      <c r="F147" s="290"/>
      <c r="G147" s="290"/>
      <c r="H147" s="290"/>
      <c r="I147" s="679"/>
      <c r="J147" s="604">
        <f>SUM(K147:O147)</f>
        <v>23710.927</v>
      </c>
      <c r="K147" s="289"/>
      <c r="L147" s="290">
        <v>0</v>
      </c>
      <c r="M147" s="290">
        <v>219.333</v>
      </c>
      <c r="N147" s="290">
        <v>17961.874</v>
      </c>
      <c r="O147" s="619">
        <v>5529.72</v>
      </c>
      <c r="P147" s="24"/>
    </row>
    <row r="148" spans="1:16" ht="12.75" customHeight="1" thickTop="1" thickBot="1">
      <c r="A148" s="852"/>
      <c r="B148" s="249" t="s">
        <v>108</v>
      </c>
      <c r="C148" s="249" t="s">
        <v>169</v>
      </c>
      <c r="D148" s="291">
        <f>D150/1.18/D143</f>
        <v>1.184252247678492</v>
      </c>
      <c r="E148" s="596">
        <v>0.68011999999999984</v>
      </c>
      <c r="F148" s="596">
        <v>0.68011999999999984</v>
      </c>
      <c r="G148" s="596">
        <v>0.88302999999999998</v>
      </c>
      <c r="H148" s="596">
        <v>1.42133</v>
      </c>
      <c r="I148" s="596">
        <v>2.0129099999999998</v>
      </c>
      <c r="J148" s="291">
        <f>J150/1.18/J143</f>
        <v>1.1525874136777268</v>
      </c>
      <c r="K148" s="596">
        <v>0.68749705174766629</v>
      </c>
      <c r="L148" s="596">
        <v>0.68749705174766629</v>
      </c>
      <c r="M148" s="596">
        <v>0.8553995159308091</v>
      </c>
      <c r="N148" s="596">
        <v>1.411669635062466</v>
      </c>
      <c r="O148" s="596">
        <v>2.0123109227089304</v>
      </c>
    </row>
    <row r="149" spans="1:16" ht="12.75" customHeight="1" thickTop="1" thickBot="1">
      <c r="A149" s="852"/>
      <c r="B149" s="249" t="s">
        <v>205</v>
      </c>
      <c r="C149" s="249" t="s">
        <v>169</v>
      </c>
      <c r="D149" s="291"/>
      <c r="E149" s="289"/>
      <c r="F149" s="290"/>
      <c r="G149" s="290"/>
      <c r="H149" s="290"/>
      <c r="I149" s="598">
        <v>1.2726900000000001</v>
      </c>
      <c r="J149" s="291"/>
      <c r="K149" s="289"/>
      <c r="L149" s="290"/>
      <c r="M149" s="290"/>
      <c r="N149" s="290"/>
      <c r="O149" s="598">
        <v>1.2726899999446197</v>
      </c>
    </row>
    <row r="150" spans="1:16" ht="12.75" customHeight="1" thickTop="1" thickBot="1">
      <c r="A150" s="852"/>
      <c r="B150" s="249" t="s">
        <v>109</v>
      </c>
      <c r="C150" s="292" t="s">
        <v>110</v>
      </c>
      <c r="D150" s="285">
        <f>SUM(E150:I150)</f>
        <v>416599.268426058</v>
      </c>
      <c r="E150" s="597">
        <f>E143*E148*1.18</f>
        <v>0</v>
      </c>
      <c r="F150" s="597">
        <f>(F143*F148-F195)*1.18</f>
        <v>61815.042458072792</v>
      </c>
      <c r="G150" s="597">
        <f>G143*G148*1.18</f>
        <v>4104.5494956799994</v>
      </c>
      <c r="H150" s="597">
        <f>H143*H148*1.18</f>
        <v>138902.83427411999</v>
      </c>
      <c r="I150" s="597">
        <f>(I148*I146+I147*I148+I149*I144+I149*I145)*1.18</f>
        <v>211776.84219818522</v>
      </c>
      <c r="J150" s="285">
        <f>SUM(K150:O150)</f>
        <v>355115.26414979994</v>
      </c>
      <c r="K150" s="261">
        <f>K143*K148*1.18</f>
        <v>0</v>
      </c>
      <c r="L150" s="285">
        <f>(L143*L148-L195)*1.18</f>
        <v>59803.371564799985</v>
      </c>
      <c r="M150" s="261">
        <f>M143*M148*1.18</f>
        <v>2414.6385194</v>
      </c>
      <c r="N150" s="261">
        <f>N143*N148*1.18</f>
        <v>99623.3056124</v>
      </c>
      <c r="O150" s="597">
        <f>(O148*O146+O147*O148+O149*O144+O149*O145)*1.18</f>
        <v>193273.94845319996</v>
      </c>
    </row>
    <row r="151" spans="1:16" ht="12.75" customHeight="1" thickTop="1" thickBot="1">
      <c r="A151" s="853" t="s">
        <v>111</v>
      </c>
      <c r="B151" s="417" t="s">
        <v>112</v>
      </c>
      <c r="C151" s="504" t="s">
        <v>113</v>
      </c>
      <c r="D151" s="447">
        <f>SUM(E151:I151)</f>
        <v>79180</v>
      </c>
      <c r="E151" s="315">
        <f>E44-E34-E46</f>
        <v>0</v>
      </c>
      <c r="F151" s="315">
        <f t="shared" ref="F151:I151" si="24">F44-F34-F46</f>
        <v>13300</v>
      </c>
      <c r="G151" s="315">
        <f t="shared" si="24"/>
        <v>6100</v>
      </c>
      <c r="H151" s="315">
        <f t="shared" si="24"/>
        <v>20160</v>
      </c>
      <c r="I151" s="315">
        <f t="shared" si="24"/>
        <v>39620</v>
      </c>
      <c r="J151" s="610">
        <f>SUM(K151:O151)</f>
        <v>80046.720000000016</v>
      </c>
      <c r="K151" s="315">
        <f>K44-K34-K46</f>
        <v>0</v>
      </c>
      <c r="L151" s="687">
        <f t="shared" ref="L151:O151" si="25">L44-L34-L46</f>
        <v>12768.038000000015</v>
      </c>
      <c r="M151" s="687">
        <f t="shared" si="25"/>
        <v>4486.0669999999918</v>
      </c>
      <c r="N151" s="687">
        <f t="shared" si="25"/>
        <v>16218.859000000011</v>
      </c>
      <c r="O151" s="687">
        <f t="shared" si="25"/>
        <v>46573.755999999994</v>
      </c>
    </row>
    <row r="152" spans="1:16" ht="12.75" customHeight="1" thickTop="1" thickBot="1">
      <c r="A152" s="853"/>
      <c r="B152" s="419" t="s">
        <v>114</v>
      </c>
      <c r="C152" s="488" t="s">
        <v>115</v>
      </c>
      <c r="D152" s="346">
        <f t="shared" ref="D152:O152" si="26">IF(D44=0,0,D151/D44*100)</f>
        <v>20.782152230971128</v>
      </c>
      <c r="E152" s="346">
        <f t="shared" si="26"/>
        <v>0</v>
      </c>
      <c r="F152" s="346">
        <f t="shared" si="26"/>
        <v>4.8225098807063347</v>
      </c>
      <c r="G152" s="346">
        <f t="shared" si="26"/>
        <v>5.1810831011755116</v>
      </c>
      <c r="H152" s="346">
        <f t="shared" si="26"/>
        <v>7.1322436849925701</v>
      </c>
      <c r="I152" s="346">
        <f t="shared" si="26"/>
        <v>25.534931683423562</v>
      </c>
      <c r="J152" s="346">
        <f t="shared" si="26"/>
        <v>23.37040079438912</v>
      </c>
      <c r="K152" s="346">
        <f t="shared" si="26"/>
        <v>0</v>
      </c>
      <c r="L152" s="346">
        <f t="shared" si="26"/>
        <v>4.8308111974434906</v>
      </c>
      <c r="M152" s="346">
        <f t="shared" si="26"/>
        <v>4.5554620387573364</v>
      </c>
      <c r="N152" s="346">
        <f t="shared" si="26"/>
        <v>6.3657765311281835</v>
      </c>
      <c r="O152" s="346">
        <f t="shared" si="26"/>
        <v>29.827005344584951</v>
      </c>
    </row>
    <row r="153" spans="1:16" ht="12.75" customHeight="1" thickTop="1" thickBot="1">
      <c r="A153" s="853"/>
      <c r="B153" s="419" t="s">
        <v>116</v>
      </c>
      <c r="C153" s="488" t="s">
        <v>117</v>
      </c>
      <c r="D153" s="346">
        <f t="shared" ref="D153:O153" si="27">IF(D45=0,0,D151/D45*100)</f>
        <v>20.782152230971128</v>
      </c>
      <c r="E153" s="346">
        <f t="shared" si="27"/>
        <v>0</v>
      </c>
      <c r="F153" s="346">
        <f t="shared" si="27"/>
        <v>4.8225098807063347</v>
      </c>
      <c r="G153" s="346">
        <f t="shared" si="27"/>
        <v>5.3889210849930036</v>
      </c>
      <c r="H153" s="346">
        <f t="shared" si="27"/>
        <v>7.808209309585429</v>
      </c>
      <c r="I153" s="346">
        <f t="shared" si="27"/>
        <v>25.787253208436766</v>
      </c>
      <c r="J153" s="346">
        <f t="shared" si="27"/>
        <v>23.37040079438912</v>
      </c>
      <c r="K153" s="346">
        <f t="shared" si="27"/>
        <v>0</v>
      </c>
      <c r="L153" s="346">
        <f t="shared" si="27"/>
        <v>4.8308111974434897</v>
      </c>
      <c r="M153" s="346">
        <f t="shared" si="27"/>
        <v>4.7229487124592815</v>
      </c>
      <c r="N153" s="346">
        <f t="shared" si="27"/>
        <v>6.9847574119561964</v>
      </c>
      <c r="O153" s="346">
        <f t="shared" si="27"/>
        <v>29.974387448745489</v>
      </c>
    </row>
    <row r="154" spans="1:16" ht="12.75" customHeight="1" thickTop="1" thickBot="1">
      <c r="A154" s="853"/>
      <c r="B154" s="420" t="s">
        <v>118</v>
      </c>
      <c r="C154" s="505" t="s">
        <v>209</v>
      </c>
      <c r="D154" s="422">
        <f>SUM(E154:I154)</f>
        <v>4486.484653127176</v>
      </c>
      <c r="E154" s="299"/>
      <c r="F154" s="289">
        <f>3802.10563824337*1.18</f>
        <v>4486.484653127176</v>
      </c>
      <c r="G154" s="299"/>
      <c r="H154" s="299"/>
      <c r="I154" s="299"/>
      <c r="J154" s="422">
        <f>SUM(K154:O154)</f>
        <v>3655.4367921999997</v>
      </c>
      <c r="K154" s="422">
        <v>0</v>
      </c>
      <c r="L154" s="415">
        <f>3097.82779*1.18</f>
        <v>3655.4367921999997</v>
      </c>
      <c r="M154" s="422">
        <v>0</v>
      </c>
      <c r="N154" s="422">
        <v>0</v>
      </c>
      <c r="O154" s="422">
        <v>0</v>
      </c>
    </row>
    <row r="155" spans="1:16" ht="12.75" customHeight="1" thickTop="1" thickBot="1">
      <c r="A155" s="853"/>
      <c r="B155" s="423" t="s">
        <v>120</v>
      </c>
      <c r="C155" s="503" t="s">
        <v>121</v>
      </c>
      <c r="D155" s="443">
        <f>SUM(E155:I155)</f>
        <v>79180</v>
      </c>
      <c r="E155" s="251">
        <f>E151</f>
        <v>0</v>
      </c>
      <c r="F155" s="251">
        <f>F151</f>
        <v>13300</v>
      </c>
      <c r="G155" s="251">
        <f>G151</f>
        <v>6100</v>
      </c>
      <c r="H155" s="251">
        <f>H151</f>
        <v>20160</v>
      </c>
      <c r="I155" s="251">
        <f>I151</f>
        <v>39620</v>
      </c>
      <c r="J155" s="424">
        <f>SUM(K155:O155)</f>
        <v>80046.720000000016</v>
      </c>
      <c r="K155" s="424">
        <f>K151</f>
        <v>0</v>
      </c>
      <c r="L155" s="424">
        <f>L151</f>
        <v>12768.038000000015</v>
      </c>
      <c r="M155" s="424">
        <f>M151</f>
        <v>4486.0669999999918</v>
      </c>
      <c r="N155" s="424">
        <f>N151</f>
        <v>16218.859000000011</v>
      </c>
      <c r="O155" s="424">
        <f>O151</f>
        <v>46573.755999999994</v>
      </c>
    </row>
    <row r="156" spans="1:16" ht="12.75" customHeight="1" thickTop="1" thickBot="1">
      <c r="A156" s="853"/>
      <c r="B156" s="423" t="s">
        <v>122</v>
      </c>
      <c r="C156" s="503" t="s">
        <v>167</v>
      </c>
      <c r="D156" s="444">
        <f>D157/1.18/D155</f>
        <v>1.6136244571866023</v>
      </c>
      <c r="E156" s="341">
        <v>1.6136244571866023</v>
      </c>
      <c r="F156" s="341">
        <v>1.6136244571866023</v>
      </c>
      <c r="G156" s="341">
        <v>1.6136244571866023</v>
      </c>
      <c r="H156" s="341">
        <v>1.6136244571866023</v>
      </c>
      <c r="I156" s="341">
        <v>1.6136244571866023</v>
      </c>
      <c r="J156" s="425">
        <f>J157/1.18/J155</f>
        <v>1.5503750610893237</v>
      </c>
      <c r="K156" s="341">
        <v>1.5503750610893237</v>
      </c>
      <c r="L156" s="341">
        <v>1.5503750610893237</v>
      </c>
      <c r="M156" s="341">
        <v>1.5503750610893237</v>
      </c>
      <c r="N156" s="341">
        <v>1.5503750610893237</v>
      </c>
      <c r="O156" s="341">
        <v>1.5503750610893237</v>
      </c>
    </row>
    <row r="157" spans="1:16" ht="12.75" customHeight="1" thickTop="1" thickBot="1">
      <c r="A157" s="853"/>
      <c r="B157" s="423" t="s">
        <v>124</v>
      </c>
      <c r="C157" s="503" t="s">
        <v>168</v>
      </c>
      <c r="D157" s="443">
        <f>SUM(E157:I157)</f>
        <v>150764.80573364149</v>
      </c>
      <c r="E157" s="357">
        <f>E155*E156*1.18</f>
        <v>0</v>
      </c>
      <c r="F157" s="357">
        <f>F155*F156*1.18</f>
        <v>25324.222231086533</v>
      </c>
      <c r="G157" s="357">
        <f>G155*G156*1.18</f>
        <v>11614.868842829163</v>
      </c>
      <c r="H157" s="357">
        <f>H155*H156*1.18</f>
        <v>38386.189487120646</v>
      </c>
      <c r="I157" s="357">
        <f>I155*I156*1.18</f>
        <v>75439.52517260515</v>
      </c>
      <c r="J157" s="607">
        <f>SUM(K157:O157)</f>
        <v>146440.8773238</v>
      </c>
      <c r="K157" s="424">
        <f>K155*K156*1.18</f>
        <v>0</v>
      </c>
      <c r="L157" s="424">
        <f>L155*L156*1.18</f>
        <v>23358.392279204178</v>
      </c>
      <c r="M157" s="424">
        <f>M155*M156*1.18</f>
        <v>8207.0019510274269</v>
      </c>
      <c r="N157" s="424">
        <f>N155*N156*1.18</f>
        <v>29671.471125250489</v>
      </c>
      <c r="O157" s="424">
        <f>O155*O156*1.18</f>
        <v>85204.011968317893</v>
      </c>
    </row>
    <row r="158" spans="1:16" ht="12.75" customHeight="1" thickTop="1" thickBot="1">
      <c r="A158" s="853"/>
      <c r="B158" s="427" t="s">
        <v>126</v>
      </c>
      <c r="C158" s="505" t="s">
        <v>127</v>
      </c>
      <c r="D158" s="445">
        <f>SUM(E158:I158)</f>
        <v>76760</v>
      </c>
      <c r="E158" s="226">
        <f>E160*E45</f>
        <v>0</v>
      </c>
      <c r="F158" s="226">
        <f>F160*F45/100</f>
        <v>13300</v>
      </c>
      <c r="G158" s="226">
        <f>G160*G45/100</f>
        <v>6100</v>
      </c>
      <c r="H158" s="226">
        <f>H160*H45/100</f>
        <v>20160</v>
      </c>
      <c r="I158" s="226">
        <f>I160*I45/100</f>
        <v>37199.999999999993</v>
      </c>
      <c r="J158" s="608">
        <f>SUM(K158:O158)</f>
        <v>69016.420000000013</v>
      </c>
      <c r="K158" s="428">
        <v>0</v>
      </c>
      <c r="L158" s="428">
        <v>12768.038000000015</v>
      </c>
      <c r="M158" s="428">
        <v>4486.0669999999918</v>
      </c>
      <c r="N158" s="428">
        <v>16218.858999999997</v>
      </c>
      <c r="O158" s="428">
        <v>35543.455999999998</v>
      </c>
    </row>
    <row r="159" spans="1:16" ht="12.75" customHeight="1" thickTop="1" thickBot="1">
      <c r="A159" s="853"/>
      <c r="B159" s="427" t="s">
        <v>128</v>
      </c>
      <c r="C159" s="505" t="s">
        <v>129</v>
      </c>
      <c r="D159" s="345">
        <f t="shared" ref="D159:O159" si="28">IF(D44=0,0,D158/D44*100)</f>
        <v>20.146981627296586</v>
      </c>
      <c r="E159" s="345">
        <f t="shared" si="28"/>
        <v>0</v>
      </c>
      <c r="F159" s="345">
        <f t="shared" si="28"/>
        <v>4.8225098807063347</v>
      </c>
      <c r="G159" s="345">
        <f t="shared" si="28"/>
        <v>5.1810831011755116</v>
      </c>
      <c r="H159" s="345">
        <f t="shared" si="28"/>
        <v>7.1322436849925701</v>
      </c>
      <c r="I159" s="345">
        <f t="shared" si="28"/>
        <v>23.975251353441603</v>
      </c>
      <c r="J159" s="345">
        <f t="shared" si="28"/>
        <v>20.149999860005423</v>
      </c>
      <c r="K159" s="345">
        <f t="shared" si="28"/>
        <v>0</v>
      </c>
      <c r="L159" s="345">
        <f t="shared" si="28"/>
        <v>4.8308111974434906</v>
      </c>
      <c r="M159" s="345">
        <f t="shared" si="28"/>
        <v>4.5554620387573364</v>
      </c>
      <c r="N159" s="345">
        <f t="shared" si="28"/>
        <v>6.3657765311281782</v>
      </c>
      <c r="O159" s="345">
        <f t="shared" si="28"/>
        <v>22.762923653334298</v>
      </c>
      <c r="P159" s="25"/>
    </row>
    <row r="160" spans="1:16" ht="12.75" customHeight="1" thickTop="1" thickBot="1">
      <c r="A160" s="853"/>
      <c r="B160" s="429" t="s">
        <v>130</v>
      </c>
      <c r="C160" s="505" t="s">
        <v>131</v>
      </c>
      <c r="D160" s="345">
        <f>IF(D45=0,0,D158/D45*100)</f>
        <v>20.146981627296586</v>
      </c>
      <c r="E160" s="317">
        <v>0</v>
      </c>
      <c r="F160" s="317">
        <v>4.8225098807063347</v>
      </c>
      <c r="G160" s="317">
        <v>5.3889210849930036</v>
      </c>
      <c r="H160" s="317">
        <v>7.808209309585429</v>
      </c>
      <c r="I160" s="317">
        <v>24.212161013474198</v>
      </c>
      <c r="J160" s="345">
        <f t="shared" ref="J160:O160" si="29">IF(J45=0,0,J158/J45*100)</f>
        <v>20.149999860005423</v>
      </c>
      <c r="K160" s="345">
        <f t="shared" si="29"/>
        <v>0</v>
      </c>
      <c r="L160" s="345">
        <f t="shared" si="29"/>
        <v>4.8308111974434897</v>
      </c>
      <c r="M160" s="345">
        <f t="shared" si="29"/>
        <v>4.7229487124592815</v>
      </c>
      <c r="N160" s="345">
        <f t="shared" si="29"/>
        <v>6.984757411956191</v>
      </c>
      <c r="O160" s="345">
        <f t="shared" si="29"/>
        <v>22.875400502622927</v>
      </c>
      <c r="P160" s="25"/>
    </row>
    <row r="161" spans="1:15" ht="12.75" customHeight="1" thickTop="1" thickBot="1">
      <c r="A161" s="853"/>
      <c r="B161" s="430" t="s">
        <v>132</v>
      </c>
      <c r="C161" s="503" t="s">
        <v>133</v>
      </c>
      <c r="D161" s="443">
        <f>SUM(E161:I161)</f>
        <v>2420.0000000000073</v>
      </c>
      <c r="E161" s="251">
        <f>E151-E158</f>
        <v>0</v>
      </c>
      <c r="F161" s="251">
        <f>F151-F158</f>
        <v>0</v>
      </c>
      <c r="G161" s="251">
        <f>G151-G158</f>
        <v>0</v>
      </c>
      <c r="H161" s="251">
        <f>H151-H158</f>
        <v>0</v>
      </c>
      <c r="I161" s="251">
        <f>I151-I158</f>
        <v>2420.0000000000073</v>
      </c>
      <c r="J161" s="424">
        <f>SUM(K161:O161)</f>
        <v>11030.30000000001</v>
      </c>
      <c r="K161" s="424">
        <f>K151-K158</f>
        <v>0</v>
      </c>
      <c r="L161" s="424">
        <f>L151-L158</f>
        <v>0</v>
      </c>
      <c r="M161" s="424">
        <f>M151-M158</f>
        <v>0</v>
      </c>
      <c r="N161" s="424">
        <f>N151-N158</f>
        <v>1.4551915228366852E-11</v>
      </c>
      <c r="O161" s="251">
        <f>O151-O158</f>
        <v>11030.299999999996</v>
      </c>
    </row>
    <row r="162" spans="1:15" ht="12.75" customHeight="1" thickTop="1" thickBot="1">
      <c r="A162" s="853"/>
      <c r="B162" s="430" t="s">
        <v>134</v>
      </c>
      <c r="C162" s="503" t="s">
        <v>135</v>
      </c>
      <c r="D162" s="347">
        <f t="shared" ref="D162:O162" si="30">IF(D44=0,0,D161/D44*100)</f>
        <v>0.63517060367454259</v>
      </c>
      <c r="E162" s="347">
        <f t="shared" si="30"/>
        <v>0</v>
      </c>
      <c r="F162" s="347">
        <f t="shared" si="30"/>
        <v>0</v>
      </c>
      <c r="G162" s="347">
        <f t="shared" si="30"/>
        <v>0</v>
      </c>
      <c r="H162" s="347">
        <f t="shared" si="30"/>
        <v>0</v>
      </c>
      <c r="I162" s="347">
        <f t="shared" si="30"/>
        <v>1.5596803299819588</v>
      </c>
      <c r="J162" s="347">
        <f t="shared" si="30"/>
        <v>3.2204009343837012</v>
      </c>
      <c r="K162" s="347">
        <f t="shared" si="30"/>
        <v>0</v>
      </c>
      <c r="L162" s="347">
        <f t="shared" si="30"/>
        <v>0</v>
      </c>
      <c r="M162" s="347">
        <f t="shared" si="30"/>
        <v>0</v>
      </c>
      <c r="N162" s="347">
        <f t="shared" si="30"/>
        <v>5.7115140124039839E-15</v>
      </c>
      <c r="O162" s="347">
        <f t="shared" si="30"/>
        <v>7.0640816912506539</v>
      </c>
    </row>
    <row r="163" spans="1:15" ht="12.75" customHeight="1" thickTop="1" thickBot="1">
      <c r="A163" s="853"/>
      <c r="B163" s="430" t="s">
        <v>136</v>
      </c>
      <c r="C163" s="503" t="s">
        <v>137</v>
      </c>
      <c r="D163" s="347">
        <v>0.82480018385638776</v>
      </c>
      <c r="E163" s="347">
        <v>0.82480018385638776</v>
      </c>
      <c r="F163" s="347">
        <v>0.82480018385638776</v>
      </c>
      <c r="G163" s="347">
        <v>0.82480018385638776</v>
      </c>
      <c r="H163" s="347">
        <v>0.82480018385638776</v>
      </c>
      <c r="I163" s="347">
        <v>0.82480018385638776</v>
      </c>
      <c r="J163" s="347">
        <v>0.82480018385638776</v>
      </c>
      <c r="K163" s="347">
        <v>0.82480018385638776</v>
      </c>
      <c r="L163" s="347">
        <v>0.82480018385638776</v>
      </c>
      <c r="M163" s="347">
        <v>0.82480018385638776</v>
      </c>
      <c r="N163" s="347">
        <v>0.82480018385638776</v>
      </c>
      <c r="O163" s="347">
        <v>0.82480018385638776</v>
      </c>
    </row>
    <row r="164" spans="1:15">
      <c r="A164" s="173" t="s">
        <v>210</v>
      </c>
      <c r="D164" s="95"/>
      <c r="E164" s="95"/>
      <c r="F164" s="601"/>
      <c r="G164" s="601"/>
      <c r="H164" s="601"/>
      <c r="I164" s="601"/>
      <c r="J164" s="388"/>
      <c r="K164" s="389"/>
      <c r="L164" s="389"/>
      <c r="M164" s="389"/>
      <c r="N164" s="389"/>
      <c r="O164" s="389"/>
    </row>
    <row r="165" spans="1:15" ht="12.75" thickBot="1">
      <c r="D165" s="95"/>
      <c r="E165" s="93"/>
      <c r="F165" s="342"/>
      <c r="G165" s="342"/>
      <c r="H165" s="342"/>
      <c r="I165" s="342"/>
      <c r="J165" s="174"/>
      <c r="K165" s="25"/>
      <c r="L165" s="81"/>
      <c r="M165" s="81"/>
      <c r="N165" s="81"/>
      <c r="O165" s="81"/>
    </row>
    <row r="166" spans="1:15" ht="12.75" customHeight="1" thickBot="1">
      <c r="B166" s="854" t="s">
        <v>138</v>
      </c>
      <c r="C166" s="855" t="s">
        <v>139</v>
      </c>
      <c r="D166" s="842" t="s">
        <v>140</v>
      </c>
      <c r="E166" s="843"/>
      <c r="F166" s="843"/>
      <c r="G166" s="843"/>
      <c r="H166" s="843"/>
      <c r="I166" s="844"/>
      <c r="J166" s="851" t="s">
        <v>140</v>
      </c>
      <c r="K166" s="851"/>
      <c r="L166" s="851"/>
      <c r="M166" s="851"/>
      <c r="N166" s="851"/>
      <c r="O166" s="851"/>
    </row>
    <row r="167" spans="1:15">
      <c r="B167" s="854"/>
      <c r="C167" s="855"/>
      <c r="D167" s="96" t="s">
        <v>141</v>
      </c>
      <c r="E167" s="97"/>
      <c r="F167" s="97" t="s">
        <v>5</v>
      </c>
      <c r="G167" s="98" t="s">
        <v>74</v>
      </c>
      <c r="H167" s="98" t="s">
        <v>76</v>
      </c>
      <c r="I167" s="99" t="s">
        <v>8</v>
      </c>
      <c r="J167" s="28" t="s">
        <v>141</v>
      </c>
      <c r="K167" s="29"/>
      <c r="L167" s="29" t="s">
        <v>5</v>
      </c>
      <c r="M167" s="30" t="s">
        <v>74</v>
      </c>
      <c r="N167" s="30" t="s">
        <v>76</v>
      </c>
      <c r="O167" s="31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>
        <f>D174+D175+D176</f>
        <v>381000</v>
      </c>
      <c r="E169" s="35"/>
      <c r="F169" s="36">
        <f>F170+F174+F175+F176</f>
        <v>275790</v>
      </c>
      <c r="G169" s="36">
        <f>G170+G174+G175+G176</f>
        <v>113576</v>
      </c>
      <c r="H169" s="36">
        <f>H170+H174+H175+H176</f>
        <v>259990</v>
      </c>
      <c r="I169" s="37">
        <f>I170+I174+I175+I176</f>
        <v>155160</v>
      </c>
      <c r="J169" s="34">
        <f>J174+J175+J176</f>
        <v>342513.25300000003</v>
      </c>
      <c r="K169" s="35"/>
      <c r="L169" s="36">
        <f>L170+L174+L175+L176</f>
        <v>264304.223</v>
      </c>
      <c r="M169" s="36">
        <f>M170+M174+M175+M176</f>
        <v>94984.452999999994</v>
      </c>
      <c r="N169" s="36">
        <f>N170+N174+N175+N176</f>
        <v>232798.42300000001</v>
      </c>
      <c r="O169" s="37">
        <f>O170+O174+O175+O176</f>
        <v>156146.269</v>
      </c>
    </row>
    <row r="170" spans="1:15" ht="12.75">
      <c r="B170" s="38" t="s">
        <v>12</v>
      </c>
      <c r="C170" s="39" t="s">
        <v>143</v>
      </c>
      <c r="D170" s="675">
        <f t="shared" ref="D170:D177" si="31">SUM(F170:I170)</f>
        <v>423516</v>
      </c>
      <c r="E170" s="676"/>
      <c r="F170" s="676"/>
      <c r="G170" s="677">
        <f>SUM(G171:G173)</f>
        <v>52516</v>
      </c>
      <c r="H170" s="677">
        <f>SUM(H171:H173)</f>
        <v>215790</v>
      </c>
      <c r="I170" s="678">
        <f>SUM(I171:I173)</f>
        <v>155210</v>
      </c>
      <c r="J170" s="675">
        <f t="shared" ref="J170:J177" si="32">SUM(L170:O170)</f>
        <v>405720.11499999999</v>
      </c>
      <c r="K170" s="676"/>
      <c r="L170" s="676"/>
      <c r="M170" s="677">
        <f>SUM(M171:M173)</f>
        <v>52175.962</v>
      </c>
      <c r="N170" s="677">
        <f>SUM(N171:N173)</f>
        <v>197365.55300000001</v>
      </c>
      <c r="O170" s="678">
        <f>SUM(O171:O173)</f>
        <v>156178.6</v>
      </c>
    </row>
    <row r="171" spans="1:15" ht="12.75">
      <c r="B171" s="40" t="s">
        <v>144</v>
      </c>
      <c r="C171" s="41" t="s">
        <v>145</v>
      </c>
      <c r="D171" s="42">
        <f t="shared" si="31"/>
        <v>165150</v>
      </c>
      <c r="E171" s="43"/>
      <c r="F171" s="44"/>
      <c r="G171" s="45">
        <f>G31-G49-G61-G73-G85-G97-G78-G109-G121-G54-G66-G90-G102-G114-G126</f>
        <v>52516</v>
      </c>
      <c r="H171" s="45">
        <f>H31-H49-H61-H73-H85-H97-H78-H54-H109-H66-H90-H102-H114-H121-H126</f>
        <v>112634</v>
      </c>
      <c r="I171" s="46"/>
      <c r="J171" s="42">
        <f t="shared" si="32"/>
        <v>161435.34899999999</v>
      </c>
      <c r="K171" s="43"/>
      <c r="L171" s="44"/>
      <c r="M171" s="45">
        <f>M31-M49-M61-M73-M85-M97-M78-M109-M121-M54-M66-M90-M102-M114-M126</f>
        <v>52175.962</v>
      </c>
      <c r="N171" s="45">
        <f>N31-N49-N61-N73-N85-N97-N78-N54-N109-N66-N90-N102-N114-N121-N126</f>
        <v>109259.38699999999</v>
      </c>
      <c r="O171" s="46"/>
    </row>
    <row r="172" spans="1:15" ht="12.75">
      <c r="B172" s="47" t="s">
        <v>146</v>
      </c>
      <c r="C172" s="48" t="s">
        <v>6</v>
      </c>
      <c r="D172" s="42">
        <f t="shared" si="31"/>
        <v>103156</v>
      </c>
      <c r="E172" s="43"/>
      <c r="F172" s="44"/>
      <c r="G172" s="49"/>
      <c r="H172" s="45">
        <f>H32-H50-H62-H74-H86-H98-H110-H55-H67-H79-H91-H103-H115-H122-H127</f>
        <v>103156</v>
      </c>
      <c r="I172" s="50">
        <f>I32-I50-I55-I62-I67-I74-I79-I86-I91-I98-I103-I110-I115-I122-I127</f>
        <v>0</v>
      </c>
      <c r="J172" s="42">
        <f t="shared" si="32"/>
        <v>88106.166000000012</v>
      </c>
      <c r="K172" s="43"/>
      <c r="L172" s="44"/>
      <c r="M172" s="49"/>
      <c r="N172" s="45">
        <f>N32-N50-N62-N74-N86-N98-N110-N55-N67-N79-N91-N103-N115-N122-N127</f>
        <v>88106.166000000012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>
        <f t="shared" si="31"/>
        <v>155210</v>
      </c>
      <c r="E173" s="54"/>
      <c r="F173" s="55"/>
      <c r="G173" s="56"/>
      <c r="H173" s="56"/>
      <c r="I173" s="57">
        <f>I33-I51-I87-I75-I99-I111-I56-I63-I68-I80-I92-I104-I116-I123-I128</f>
        <v>155210</v>
      </c>
      <c r="J173" s="53">
        <f t="shared" si="32"/>
        <v>156178.6</v>
      </c>
      <c r="K173" s="54"/>
      <c r="L173" s="55"/>
      <c r="M173" s="56"/>
      <c r="N173" s="56"/>
      <c r="O173" s="57">
        <f>O33-O51-O87-O75-O99-O111-O56-O63-O68-O80-O92-O104-O116-O123-O128</f>
        <v>156178.6</v>
      </c>
    </row>
    <row r="174" spans="1:15" ht="12.75">
      <c r="B174" s="58" t="s">
        <v>14</v>
      </c>
      <c r="C174" s="39" t="s">
        <v>148</v>
      </c>
      <c r="D174" s="110">
        <f t="shared" si="31"/>
        <v>230770</v>
      </c>
      <c r="E174" s="111"/>
      <c r="F174" s="111">
        <f>F28+E28</f>
        <v>189060</v>
      </c>
      <c r="G174" s="112">
        <f>G28</f>
        <v>38160</v>
      </c>
      <c r="H174" s="112">
        <f>H28</f>
        <v>3550</v>
      </c>
      <c r="I174" s="113">
        <f>I28</f>
        <v>0</v>
      </c>
      <c r="J174" s="110">
        <f t="shared" si="32"/>
        <v>244118.85400000002</v>
      </c>
      <c r="K174" s="111"/>
      <c r="L174" s="111">
        <f>L28+K28</f>
        <v>212816.739</v>
      </c>
      <c r="M174" s="112">
        <f>M28</f>
        <v>28428.115999999998</v>
      </c>
      <c r="N174" s="112">
        <f>N28</f>
        <v>2873.9989999999998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>
        <f t="shared" si="31"/>
        <v>146730</v>
      </c>
      <c r="E175" s="124"/>
      <c r="F175" s="125">
        <f>F23+F24+F25+E23+E24+E25</f>
        <v>86730</v>
      </c>
      <c r="G175" s="125">
        <f>G23+G24+G25</f>
        <v>19400</v>
      </c>
      <c r="H175" s="125">
        <f>H23+H24+H25</f>
        <v>40650</v>
      </c>
      <c r="I175" s="126">
        <f>I23+I24+I25</f>
        <v>-50</v>
      </c>
      <c r="J175" s="123">
        <f t="shared" si="32"/>
        <v>98204.798999999999</v>
      </c>
      <c r="K175" s="124"/>
      <c r="L175" s="125">
        <f>L23+L24+L25+K23+K24+K25</f>
        <v>51487.484000000011</v>
      </c>
      <c r="M175" s="125">
        <f>M23+M24+M25</f>
        <v>14190.775</v>
      </c>
      <c r="N175" s="125">
        <f>N23+N24+N25</f>
        <v>32558.870999999999</v>
      </c>
      <c r="O175" s="126">
        <f>O23+O24+O25</f>
        <v>-32.330999999999996</v>
      </c>
    </row>
    <row r="176" spans="1:15" ht="13.5" thickBot="1">
      <c r="B176" s="61" t="s">
        <v>20</v>
      </c>
      <c r="C176" s="62" t="s">
        <v>150</v>
      </c>
      <c r="D176" s="129">
        <f t="shared" si="31"/>
        <v>3500</v>
      </c>
      <c r="E176" s="130"/>
      <c r="F176" s="131">
        <f>F29+E29</f>
        <v>0</v>
      </c>
      <c r="G176" s="131">
        <f>G29</f>
        <v>3500</v>
      </c>
      <c r="H176" s="131">
        <f>H29</f>
        <v>0</v>
      </c>
      <c r="I176" s="132">
        <f>I29</f>
        <v>0</v>
      </c>
      <c r="J176" s="129">
        <f t="shared" si="32"/>
        <v>189.6</v>
      </c>
      <c r="K176" s="130"/>
      <c r="L176" s="131">
        <f>L29+K29</f>
        <v>0</v>
      </c>
      <c r="M176" s="131">
        <f>M29</f>
        <v>189.6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31"/>
        <v>79180</v>
      </c>
      <c r="E177" s="136"/>
      <c r="F177" s="136">
        <f>F169-F180-G171-H171</f>
        <v>13300</v>
      </c>
      <c r="G177" s="136">
        <f>G169-G180-H172-I172</f>
        <v>6100</v>
      </c>
      <c r="H177" s="136">
        <f>H169-H180-I173</f>
        <v>20160</v>
      </c>
      <c r="I177" s="137">
        <f>I169-I180</f>
        <v>39620</v>
      </c>
      <c r="J177" s="135">
        <f t="shared" si="32"/>
        <v>80046.720000000016</v>
      </c>
      <c r="K177" s="136"/>
      <c r="L177" s="136">
        <f>L169-L180-M171-N171</f>
        <v>12768.038</v>
      </c>
      <c r="M177" s="136">
        <f>M169-M180-N172-O172</f>
        <v>4486.0669999999809</v>
      </c>
      <c r="N177" s="136">
        <f>N169-N180-O173</f>
        <v>16218.859000000026</v>
      </c>
      <c r="O177" s="137">
        <f>O169-O180</f>
        <v>46573.756000000008</v>
      </c>
    </row>
    <row r="178" spans="1:15" ht="13.5" thickBot="1">
      <c r="B178" s="64"/>
      <c r="C178" s="65" t="s">
        <v>152</v>
      </c>
      <c r="D178" s="441">
        <f>IF(D169=0,0,D177/D169*100)</f>
        <v>20.782152230971128</v>
      </c>
      <c r="E178" s="140"/>
      <c r="F178" s="441">
        <f t="shared" ref="F178:I178" si="33">IF(F169=0,0,F177/F169*100)</f>
        <v>4.8225098807063347</v>
      </c>
      <c r="G178" s="441">
        <f t="shared" si="33"/>
        <v>5.370852997112066</v>
      </c>
      <c r="H178" s="441">
        <f t="shared" si="33"/>
        <v>7.7541443901688529</v>
      </c>
      <c r="I178" s="441">
        <f t="shared" si="33"/>
        <v>25.534931683423562</v>
      </c>
      <c r="J178" s="441">
        <f>IF(J169=0,0,J177/J169*100)</f>
        <v>23.370400794389116</v>
      </c>
      <c r="K178" s="140"/>
      <c r="L178" s="441">
        <f t="shared" ref="L178:O178" si="34">IF(L169=0,0,L177/L169*100)</f>
        <v>4.8308111974434853</v>
      </c>
      <c r="M178" s="441">
        <f t="shared" si="34"/>
        <v>4.7229487124592708</v>
      </c>
      <c r="N178" s="441">
        <f t="shared" si="34"/>
        <v>6.9669110258534808</v>
      </c>
      <c r="O178" s="441">
        <f t="shared" si="34"/>
        <v>29.827005344584961</v>
      </c>
    </row>
    <row r="179" spans="1:15" ht="26.25" thickBot="1">
      <c r="B179" s="66" t="s">
        <v>38</v>
      </c>
      <c r="C179" s="67" t="s">
        <v>153</v>
      </c>
      <c r="D179" s="143">
        <f t="shared" ref="D179:D184" si="35">SUM(F179:I179)</f>
        <v>0</v>
      </c>
      <c r="E179" s="144"/>
      <c r="F179" s="144"/>
      <c r="G179" s="145"/>
      <c r="H179" s="145"/>
      <c r="I179" s="146"/>
      <c r="J179" s="143">
        <f t="shared" ref="J179:J184" si="36">SUM(L179:O179)</f>
        <v>0</v>
      </c>
      <c r="K179" s="144"/>
      <c r="L179" s="144"/>
      <c r="M179" s="145"/>
      <c r="N179" s="145"/>
      <c r="O179" s="146"/>
    </row>
    <row r="180" spans="1:15" ht="13.5" thickBot="1">
      <c r="B180" s="68" t="s">
        <v>52</v>
      </c>
      <c r="C180" s="69" t="s">
        <v>154</v>
      </c>
      <c r="D180" s="143">
        <f t="shared" si="35"/>
        <v>301820</v>
      </c>
      <c r="E180" s="144"/>
      <c r="F180" s="682">
        <f>F143+E143</f>
        <v>97340</v>
      </c>
      <c r="G180" s="682">
        <f>G143+G194</f>
        <v>4320</v>
      </c>
      <c r="H180" s="682">
        <f>H143+H194</f>
        <v>84620</v>
      </c>
      <c r="I180" s="683">
        <f>I143+I194</f>
        <v>115540</v>
      </c>
      <c r="J180" s="143">
        <f t="shared" si="36"/>
        <v>262466.533</v>
      </c>
      <c r="K180" s="144"/>
      <c r="L180" s="682">
        <f>L143+K143</f>
        <v>90100.835999999996</v>
      </c>
      <c r="M180" s="682">
        <f>M143+M194</f>
        <v>2392.2199999999998</v>
      </c>
      <c r="N180" s="682">
        <f>N143+N194</f>
        <v>60400.963999999993</v>
      </c>
      <c r="O180" s="683">
        <f>O143+O194</f>
        <v>109572.51299999999</v>
      </c>
    </row>
    <row r="181" spans="1:15" ht="12.75">
      <c r="B181" s="70" t="s">
        <v>54</v>
      </c>
      <c r="C181" s="71" t="s">
        <v>155</v>
      </c>
      <c r="D181" s="151">
        <f t="shared" si="35"/>
        <v>0</v>
      </c>
      <c r="E181" s="152"/>
      <c r="F181" s="152"/>
      <c r="G181" s="153"/>
      <c r="H181" s="153"/>
      <c r="I181" s="154"/>
      <c r="J181" s="151">
        <f t="shared" si="36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5"/>
        <v>0</v>
      </c>
      <c r="E182" s="158"/>
      <c r="F182" s="159"/>
      <c r="G182" s="159"/>
      <c r="H182" s="159"/>
      <c r="I182" s="160"/>
      <c r="J182" s="157">
        <f t="shared" si="36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5"/>
        <v>0</v>
      </c>
      <c r="E183" s="164"/>
      <c r="F183" s="164"/>
      <c r="G183" s="165"/>
      <c r="H183" s="165"/>
      <c r="I183" s="166"/>
      <c r="J183" s="163">
        <f t="shared" si="36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5"/>
        <v>0</v>
      </c>
      <c r="E184" s="111"/>
      <c r="F184" s="111"/>
      <c r="G184" s="112"/>
      <c r="H184" s="112"/>
      <c r="I184" s="113"/>
      <c r="J184" s="110">
        <f t="shared" si="36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8" spans="1:15" ht="12.75" customHeight="1">
      <c r="A188" s="832" t="s">
        <v>211</v>
      </c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579"/>
      <c r="M190" s="579"/>
      <c r="N190" s="579"/>
      <c r="O190" s="579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483"/>
      <c r="B194" s="484"/>
      <c r="C194" s="483" t="s">
        <v>193</v>
      </c>
      <c r="D194" s="483"/>
      <c r="E194" s="483"/>
      <c r="F194" s="483"/>
      <c r="G194" s="510">
        <v>380.8</v>
      </c>
      <c r="H194" s="510">
        <v>1800.2</v>
      </c>
      <c r="I194" s="510">
        <v>1518.2</v>
      </c>
      <c r="J194" s="483"/>
      <c r="K194" s="483"/>
      <c r="L194" s="483"/>
      <c r="M194" s="483"/>
      <c r="N194" s="483">
        <v>594.81100000000004</v>
      </c>
      <c r="O194" s="483">
        <v>767.76099999999997</v>
      </c>
    </row>
    <row r="195" spans="1:15" s="83" customFormat="1">
      <c r="A195" s="506"/>
      <c r="B195" s="507"/>
      <c r="C195" s="506" t="s">
        <v>196</v>
      </c>
      <c r="D195" s="506"/>
      <c r="E195" s="506"/>
      <c r="F195" s="509">
        <v>13817.251598243374</v>
      </c>
      <c r="G195" s="506"/>
      <c r="H195" s="506"/>
      <c r="I195" s="506"/>
      <c r="J195" s="506"/>
      <c r="K195" s="506"/>
      <c r="L195" s="509">
        <v>11263.235749999998</v>
      </c>
      <c r="M195" s="506"/>
      <c r="N195" s="506"/>
      <c r="O195" s="506"/>
    </row>
    <row r="197" spans="1:15">
      <c r="M197" s="321"/>
      <c r="N197" s="321"/>
      <c r="O197" s="321"/>
    </row>
    <row r="198" spans="1:15">
      <c r="L198" s="24"/>
      <c r="M198" s="24"/>
      <c r="N198" s="24"/>
      <c r="O198" s="24"/>
    </row>
  </sheetData>
  <mergeCells count="25"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  <mergeCell ref="A6:A29"/>
    <mergeCell ref="A30:A43"/>
    <mergeCell ref="I4:I5"/>
    <mergeCell ref="J4:J5"/>
    <mergeCell ref="K4:L4"/>
    <mergeCell ref="A188:O188"/>
    <mergeCell ref="D166:I166"/>
    <mergeCell ref="J166:O166"/>
    <mergeCell ref="A46:A150"/>
    <mergeCell ref="A151:A163"/>
    <mergeCell ref="B166:B167"/>
    <mergeCell ref="C166:C167"/>
  </mergeCells>
  <phoneticPr fontId="0" type="noConversion"/>
  <pageMargins left="0.27559055118110237" right="0.27559055118110237" top="0.74803149606299213" bottom="0.55118110236220474" header="0.51181102362204722" footer="0.51181102362204722"/>
  <pageSetup paperSize="9" scale="66" firstPageNumber="0" orientation="landscape" horizontalDpi="300" verticalDpi="300" r:id="rId1"/>
  <headerFooter alignWithMargins="0"/>
  <rowBreaks count="2" manualBreakCount="2">
    <brk id="56" max="14" man="1"/>
    <brk id="150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198"/>
  <sheetViews>
    <sheetView view="pageBreakPreview" zoomScale="90" zoomScaleSheetLayoutView="90" workbookViewId="0">
      <pane xSplit="3" ySplit="5" topLeftCell="D43" activePane="bottomRight" state="frozen"/>
      <selection pane="topRight" activeCell="D1" sqref="D1"/>
      <selection pane="bottomLeft" activeCell="A63" sqref="A63"/>
      <selection pane="bottomRight" activeCell="N57" sqref="N57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.5703125" style="1" customWidth="1"/>
    <col min="6" max="6" width="11.85546875" style="1" customWidth="1"/>
    <col min="7" max="7" width="11.140625" style="1" customWidth="1"/>
    <col min="8" max="8" width="11.42578125" style="1" customWidth="1"/>
    <col min="9" max="10" width="11.85546875" style="1" customWidth="1"/>
    <col min="11" max="11" width="11.140625" style="1" customWidth="1"/>
    <col min="12" max="12" width="11.28515625" style="1" customWidth="1"/>
    <col min="13" max="13" width="10.85546875" style="1" customWidth="1"/>
    <col min="14" max="14" width="11" style="1" customWidth="1"/>
    <col min="15" max="15" width="11.5703125" style="1" customWidth="1"/>
    <col min="16" max="16" width="16.140625" style="1" customWidth="1"/>
    <col min="17" max="17" width="10" style="1" customWidth="1"/>
    <col min="18" max="16384" width="9.140625" style="1"/>
  </cols>
  <sheetData>
    <row r="1" spans="1:15" ht="15.75">
      <c r="A1" s="817" t="s">
        <v>231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.75" thickBot="1">
      <c r="A3" s="856"/>
      <c r="B3" s="857" t="s">
        <v>0</v>
      </c>
      <c r="C3" s="858" t="s">
        <v>1</v>
      </c>
      <c r="D3" s="867" t="s">
        <v>2</v>
      </c>
      <c r="E3" s="867"/>
      <c r="F3" s="867"/>
      <c r="G3" s="867"/>
      <c r="H3" s="867"/>
      <c r="I3" s="867"/>
      <c r="J3" s="867" t="s">
        <v>3</v>
      </c>
      <c r="K3" s="867"/>
      <c r="L3" s="867"/>
      <c r="M3" s="867"/>
      <c r="N3" s="867"/>
      <c r="O3" s="867"/>
    </row>
    <row r="4" spans="1:15" s="3" customFormat="1" ht="12.75" customHeight="1" thickTop="1" thickBot="1">
      <c r="A4" s="856"/>
      <c r="B4" s="857"/>
      <c r="C4" s="858"/>
      <c r="D4" s="865" t="s">
        <v>4</v>
      </c>
      <c r="E4" s="866" t="s">
        <v>5</v>
      </c>
      <c r="F4" s="866"/>
      <c r="G4" s="868" t="s">
        <v>6</v>
      </c>
      <c r="H4" s="868" t="s">
        <v>7</v>
      </c>
      <c r="I4" s="864" t="s">
        <v>8</v>
      </c>
      <c r="J4" s="865" t="s">
        <v>4</v>
      </c>
      <c r="K4" s="866" t="s">
        <v>5</v>
      </c>
      <c r="L4" s="866"/>
      <c r="M4" s="868" t="s">
        <v>6</v>
      </c>
      <c r="N4" s="868" t="s">
        <v>7</v>
      </c>
      <c r="O4" s="864" t="s">
        <v>8</v>
      </c>
    </row>
    <row r="5" spans="1:15" s="6" customFormat="1" ht="13.5" thickTop="1" thickBot="1">
      <c r="A5" s="856"/>
      <c r="B5" s="857"/>
      <c r="C5" s="858"/>
      <c r="D5" s="865"/>
      <c r="E5" s="593">
        <v>220</v>
      </c>
      <c r="F5" s="593">
        <v>110</v>
      </c>
      <c r="G5" s="868"/>
      <c r="H5" s="868"/>
      <c r="I5" s="864"/>
      <c r="J5" s="865"/>
      <c r="K5" s="5">
        <v>220</v>
      </c>
      <c r="L5" s="178">
        <v>110</v>
      </c>
      <c r="M5" s="868"/>
      <c r="N5" s="868"/>
      <c r="O5" s="864"/>
    </row>
    <row r="6" spans="1:15" ht="13.5" thickTop="1" thickBot="1">
      <c r="A6" s="862" t="s">
        <v>9</v>
      </c>
      <c r="B6" s="179" t="s">
        <v>10</v>
      </c>
      <c r="C6" s="179" t="s">
        <v>11</v>
      </c>
      <c r="D6" s="180" t="e">
        <f t="shared" ref="D6:O6" si="0">SUM(D7:D9,D12,D14)</f>
        <v>#REF!</v>
      </c>
      <c r="E6" s="181" t="e">
        <f t="shared" si="0"/>
        <v>#REF!</v>
      </c>
      <c r="F6" s="181" t="e">
        <f t="shared" si="0"/>
        <v>#REF!</v>
      </c>
      <c r="G6" s="181" t="e">
        <f t="shared" si="0"/>
        <v>#REF!</v>
      </c>
      <c r="H6" s="181" t="e">
        <f t="shared" si="0"/>
        <v>#REF!</v>
      </c>
      <c r="I6" s="181" t="e">
        <f t="shared" si="0"/>
        <v>#REF!</v>
      </c>
      <c r="J6" s="180" t="e">
        <f t="shared" si="0"/>
        <v>#REF!</v>
      </c>
      <c r="K6" s="181" t="e">
        <f t="shared" si="0"/>
        <v>#REF!</v>
      </c>
      <c r="L6" s="181" t="e">
        <f t="shared" si="0"/>
        <v>#REF!</v>
      </c>
      <c r="M6" s="181" t="e">
        <f t="shared" si="0"/>
        <v>#REF!</v>
      </c>
      <c r="N6" s="181" t="e">
        <f t="shared" si="0"/>
        <v>#REF!</v>
      </c>
      <c r="O6" s="181" t="e">
        <f t="shared" si="0"/>
        <v>#REF!</v>
      </c>
    </row>
    <row r="7" spans="1:15" ht="13.5" thickTop="1" thickBot="1">
      <c r="A7" s="862"/>
      <c r="B7" s="182" t="s">
        <v>12</v>
      </c>
      <c r="C7" s="182" t="s">
        <v>13</v>
      </c>
      <c r="D7" s="183">
        <f>SUM(E7:I7)</f>
        <v>0</v>
      </c>
      <c r="E7" s="235"/>
      <c r="F7" s="235"/>
      <c r="G7" s="235"/>
      <c r="H7" s="235"/>
      <c r="I7" s="235"/>
      <c r="J7" s="183">
        <f>SUM(K7:O7)</f>
        <v>0</v>
      </c>
      <c r="K7" s="235"/>
      <c r="L7" s="235"/>
      <c r="M7" s="235"/>
      <c r="N7" s="235"/>
      <c r="O7" s="235"/>
    </row>
    <row r="8" spans="1:15" ht="13.5" thickTop="1" thickBot="1">
      <c r="A8" s="862"/>
      <c r="B8" s="182" t="s">
        <v>14</v>
      </c>
      <c r="C8" s="182" t="s">
        <v>15</v>
      </c>
      <c r="D8" s="183" t="e">
        <f>SUM(E8:I8)</f>
        <v>#REF!</v>
      </c>
      <c r="E8" s="184" t="e">
        <f>'9 месяцев'!E8+#REF!</f>
        <v>#REF!</v>
      </c>
      <c r="F8" s="184" t="e">
        <f>'9 месяцев'!F8+#REF!</f>
        <v>#REF!</v>
      </c>
      <c r="G8" s="184" t="e">
        <f>'9 месяцев'!G8+#REF!</f>
        <v>#REF!</v>
      </c>
      <c r="H8" s="184" t="e">
        <f>'9 месяцев'!H8+#REF!</f>
        <v>#REF!</v>
      </c>
      <c r="I8" s="184" t="e">
        <f>'9 месяцев'!I8+#REF!</f>
        <v>#REF!</v>
      </c>
      <c r="J8" s="183" t="e">
        <f>SUM(K8:O8)</f>
        <v>#REF!</v>
      </c>
      <c r="K8" s="184" t="e">
        <f>'9 месяцев'!K8+#REF!</f>
        <v>#REF!</v>
      </c>
      <c r="L8" s="184" t="e">
        <f>'9 месяцев'!L8+#REF!</f>
        <v>#REF!</v>
      </c>
      <c r="M8" s="184" t="e">
        <f>'9 месяцев'!M8+#REF!</f>
        <v>#REF!</v>
      </c>
      <c r="N8" s="184" t="e">
        <f>'9 месяцев'!N8+#REF!</f>
        <v>#REF!</v>
      </c>
      <c r="O8" s="184" t="e">
        <f>'9 месяцев'!O8+#REF!</f>
        <v>#REF!</v>
      </c>
    </row>
    <row r="9" spans="1:15" ht="13.5" thickTop="1" thickBot="1">
      <c r="A9" s="862"/>
      <c r="B9" s="182" t="s">
        <v>16</v>
      </c>
      <c r="C9" s="182" t="s">
        <v>17</v>
      </c>
      <c r="D9" s="183" t="e">
        <f t="shared" ref="D9:O9" si="1">SUM(D10:D11)</f>
        <v>#REF!</v>
      </c>
      <c r="E9" s="185">
        <f t="shared" si="1"/>
        <v>0</v>
      </c>
      <c r="F9" s="185" t="e">
        <f t="shared" si="1"/>
        <v>#REF!</v>
      </c>
      <c r="G9" s="185">
        <f t="shared" si="1"/>
        <v>0</v>
      </c>
      <c r="H9" s="185">
        <f t="shared" si="1"/>
        <v>0</v>
      </c>
      <c r="I9" s="185">
        <f t="shared" si="1"/>
        <v>0</v>
      </c>
      <c r="J9" s="183" t="e">
        <f t="shared" si="1"/>
        <v>#REF!</v>
      </c>
      <c r="K9" s="185">
        <f t="shared" si="1"/>
        <v>0</v>
      </c>
      <c r="L9" s="185" t="e">
        <f t="shared" si="1"/>
        <v>#REF!</v>
      </c>
      <c r="M9" s="185">
        <f t="shared" si="1"/>
        <v>0</v>
      </c>
      <c r="N9" s="185">
        <f t="shared" si="1"/>
        <v>0</v>
      </c>
      <c r="O9" s="185">
        <f t="shared" si="1"/>
        <v>0</v>
      </c>
    </row>
    <row r="10" spans="1:15" ht="13.5" thickTop="1" thickBot="1">
      <c r="A10" s="862"/>
      <c r="B10" s="186" t="s">
        <v>18</v>
      </c>
      <c r="C10" s="187" t="s">
        <v>192</v>
      </c>
      <c r="D10" s="188" t="e">
        <f>SUM(F10:I10)</f>
        <v>#REF!</v>
      </c>
      <c r="E10" s="235"/>
      <c r="F10" s="184" t="e">
        <f>'9 месяцев'!F10+#REF!</f>
        <v>#REF!</v>
      </c>
      <c r="G10" s="235"/>
      <c r="H10" s="235"/>
      <c r="I10" s="235"/>
      <c r="J10" s="188" t="e">
        <f>SUM(L10:O10)</f>
        <v>#REF!</v>
      </c>
      <c r="K10" s="235"/>
      <c r="L10" s="184" t="e">
        <f>'9 месяцев'!L10+#REF!</f>
        <v>#REF!</v>
      </c>
      <c r="M10" s="235"/>
      <c r="N10" s="235"/>
      <c r="O10" s="235"/>
    </row>
    <row r="11" spans="1:15" ht="13.5" thickTop="1" thickBot="1">
      <c r="A11" s="862"/>
      <c r="B11" s="186" t="s">
        <v>19</v>
      </c>
      <c r="C11" s="187" t="s">
        <v>191</v>
      </c>
      <c r="D11" s="188" t="e">
        <f>SUM(F11:I11)</f>
        <v>#REF!</v>
      </c>
      <c r="E11" s="235"/>
      <c r="F11" s="184" t="e">
        <f>'9 месяцев'!F11+#REF!</f>
        <v>#REF!</v>
      </c>
      <c r="G11" s="235"/>
      <c r="H11" s="235"/>
      <c r="I11" s="235"/>
      <c r="J11" s="188" t="e">
        <f>SUM(L11:O11)</f>
        <v>#REF!</v>
      </c>
      <c r="K11" s="235"/>
      <c r="L11" s="184" t="e">
        <f>'9 месяцев'!L11+#REF!</f>
        <v>#REF!</v>
      </c>
      <c r="M11" s="235"/>
      <c r="N11" s="235"/>
      <c r="O11" s="235"/>
    </row>
    <row r="12" spans="1:15" ht="13.5" thickTop="1" thickBot="1">
      <c r="A12" s="862"/>
      <c r="B12" s="182" t="s">
        <v>20</v>
      </c>
      <c r="C12" s="182" t="s">
        <v>21</v>
      </c>
      <c r="D12" s="183" t="e">
        <f>SUM(E12:I12)</f>
        <v>#REF!</v>
      </c>
      <c r="E12" s="235"/>
      <c r="F12" s="184" t="e">
        <f>'9 месяцев'!F12+#REF!</f>
        <v>#REF!</v>
      </c>
      <c r="G12" s="184" t="e">
        <f>'9 месяцев'!G12+#REF!</f>
        <v>#REF!</v>
      </c>
      <c r="H12" s="184" t="e">
        <f>'9 месяцев'!H12+#REF!</f>
        <v>#REF!</v>
      </c>
      <c r="I12" s="235">
        <v>0</v>
      </c>
      <c r="J12" s="183" t="e">
        <f>SUM(K12:O12)</f>
        <v>#REF!</v>
      </c>
      <c r="K12" s="235"/>
      <c r="L12" s="184" t="e">
        <f>'9 месяцев'!L12+#REF!</f>
        <v>#REF!</v>
      </c>
      <c r="M12" s="184" t="e">
        <f>'9 месяцев'!M12+#REF!</f>
        <v>#REF!</v>
      </c>
      <c r="N12" s="184" t="e">
        <f>'9 месяцев'!N12+#REF!</f>
        <v>#REF!</v>
      </c>
      <c r="O12" s="235"/>
    </row>
    <row r="13" spans="1:15" ht="13.5" thickTop="1" thickBot="1">
      <c r="A13" s="862"/>
      <c r="B13" s="186" t="s">
        <v>22</v>
      </c>
      <c r="C13" s="187" t="s">
        <v>23</v>
      </c>
      <c r="D13" s="183" t="e">
        <f>SUM(E13:I13)</f>
        <v>#REF!</v>
      </c>
      <c r="E13" s="235"/>
      <c r="F13" s="235"/>
      <c r="G13" s="235"/>
      <c r="H13" s="235" t="e">
        <f>H12</f>
        <v>#REF!</v>
      </c>
      <c r="I13" s="235">
        <v>0</v>
      </c>
      <c r="J13" s="183" t="e">
        <f>SUM(K13:O13)</f>
        <v>#REF!</v>
      </c>
      <c r="K13" s="235"/>
      <c r="L13" s="235"/>
      <c r="M13" s="235"/>
      <c r="N13" s="235" t="e">
        <f>N12</f>
        <v>#REF!</v>
      </c>
      <c r="O13" s="235"/>
    </row>
    <row r="14" spans="1:15" ht="13.5" thickTop="1" thickBot="1">
      <c r="A14" s="862"/>
      <c r="B14" s="182" t="s">
        <v>24</v>
      </c>
      <c r="C14" s="182" t="s">
        <v>25</v>
      </c>
      <c r="D14" s="183" t="e">
        <f>SUM(E14:I14)</f>
        <v>#REF!</v>
      </c>
      <c r="E14" s="235"/>
      <c r="F14" s="235"/>
      <c r="G14" s="184" t="e">
        <f>'9 месяцев'!G14+#REF!</f>
        <v>#REF!</v>
      </c>
      <c r="H14" s="235"/>
      <c r="I14" s="235">
        <v>0</v>
      </c>
      <c r="J14" s="183" t="e">
        <f>SUM(K14:O14)</f>
        <v>#REF!</v>
      </c>
      <c r="K14" s="235"/>
      <c r="L14" s="235"/>
      <c r="M14" s="184" t="e">
        <f>'9 месяцев'!M14+#REF!</f>
        <v>#REF!</v>
      </c>
      <c r="N14" s="235"/>
      <c r="O14" s="235"/>
    </row>
    <row r="15" spans="1:15" ht="13.5" thickTop="1" thickBot="1">
      <c r="A15" s="862"/>
      <c r="B15" s="179" t="s">
        <v>26</v>
      </c>
      <c r="C15" s="179" t="s">
        <v>27</v>
      </c>
      <c r="D15" s="180" t="e">
        <f t="shared" ref="D15:O15" si="2">SUM(D16:D18,D21)</f>
        <v>#REF!</v>
      </c>
      <c r="E15" s="189" t="e">
        <f t="shared" si="2"/>
        <v>#REF!</v>
      </c>
      <c r="F15" s="189" t="e">
        <f t="shared" si="2"/>
        <v>#REF!</v>
      </c>
      <c r="G15" s="189" t="e">
        <f t="shared" si="2"/>
        <v>#REF!</v>
      </c>
      <c r="H15" s="189" t="e">
        <f t="shared" si="2"/>
        <v>#REF!</v>
      </c>
      <c r="I15" s="189" t="e">
        <f t="shared" si="2"/>
        <v>#REF!</v>
      </c>
      <c r="J15" s="180" t="e">
        <f t="shared" si="2"/>
        <v>#REF!</v>
      </c>
      <c r="K15" s="189" t="e">
        <f t="shared" si="2"/>
        <v>#REF!</v>
      </c>
      <c r="L15" s="189" t="e">
        <f t="shared" si="2"/>
        <v>#REF!</v>
      </c>
      <c r="M15" s="189" t="e">
        <f t="shared" si="2"/>
        <v>#REF!</v>
      </c>
      <c r="N15" s="189" t="e">
        <f t="shared" si="2"/>
        <v>#REF!</v>
      </c>
      <c r="O15" s="189" t="e">
        <f t="shared" si="2"/>
        <v>#REF!</v>
      </c>
    </row>
    <row r="16" spans="1:15" ht="13.5" thickTop="1" thickBot="1">
      <c r="A16" s="862"/>
      <c r="B16" s="182" t="s">
        <v>28</v>
      </c>
      <c r="C16" s="182" t="s">
        <v>29</v>
      </c>
      <c r="D16" s="183">
        <f>SUM(E16:I16)</f>
        <v>0</v>
      </c>
      <c r="E16" s="235"/>
      <c r="F16" s="235"/>
      <c r="G16" s="235"/>
      <c r="H16" s="235"/>
      <c r="I16" s="235">
        <v>0</v>
      </c>
      <c r="J16" s="183">
        <f>SUM(K16:O16)</f>
        <v>0</v>
      </c>
      <c r="K16" s="235"/>
      <c r="L16" s="235"/>
      <c r="M16" s="235"/>
      <c r="N16" s="235"/>
      <c r="O16" s="235"/>
    </row>
    <row r="17" spans="1:15" ht="13.5" thickTop="1" thickBot="1">
      <c r="A17" s="862"/>
      <c r="B17" s="182" t="s">
        <v>30</v>
      </c>
      <c r="C17" s="182" t="s">
        <v>31</v>
      </c>
      <c r="D17" s="183" t="e">
        <f>SUM(E17:I17)</f>
        <v>#REF!</v>
      </c>
      <c r="E17" s="184" t="e">
        <f>'9 месяцев'!E17+#REF!</f>
        <v>#REF!</v>
      </c>
      <c r="F17" s="184" t="e">
        <f>'9 месяцев'!F17+#REF!</f>
        <v>#REF!</v>
      </c>
      <c r="G17" s="184" t="e">
        <f>'9 месяцев'!G17+#REF!</f>
        <v>#REF!</v>
      </c>
      <c r="H17" s="184" t="e">
        <f>'9 месяцев'!H17+#REF!</f>
        <v>#REF!</v>
      </c>
      <c r="I17" s="184" t="e">
        <f>'9 месяцев'!I17+#REF!</f>
        <v>#REF!</v>
      </c>
      <c r="J17" s="183" t="e">
        <f>SUM(K17:O17)</f>
        <v>#REF!</v>
      </c>
      <c r="K17" s="184" t="e">
        <f>'9 месяцев'!K17+#REF!</f>
        <v>#REF!</v>
      </c>
      <c r="L17" s="184" t="e">
        <f>'9 месяцев'!L17+#REF!</f>
        <v>#REF!</v>
      </c>
      <c r="M17" s="184" t="e">
        <f>'9 месяцев'!M17+#REF!</f>
        <v>#REF!</v>
      </c>
      <c r="N17" s="184" t="e">
        <f>'9 месяцев'!N17+#REF!</f>
        <v>#REF!</v>
      </c>
      <c r="O17" s="184" t="e">
        <f>'9 месяцев'!O17+#REF!</f>
        <v>#REF!</v>
      </c>
    </row>
    <row r="18" spans="1:15" ht="13.5" thickTop="1" thickBot="1">
      <c r="A18" s="862"/>
      <c r="B18" s="182" t="s">
        <v>32</v>
      </c>
      <c r="C18" s="182" t="s">
        <v>33</v>
      </c>
      <c r="D18" s="183" t="e">
        <f t="shared" ref="D18:O18" si="3">SUM(D19:D20)</f>
        <v>#REF!</v>
      </c>
      <c r="E18" s="185">
        <f t="shared" si="3"/>
        <v>0</v>
      </c>
      <c r="F18" s="185" t="e">
        <f t="shared" si="3"/>
        <v>#REF!</v>
      </c>
      <c r="G18" s="185" t="e">
        <f t="shared" si="3"/>
        <v>#REF!</v>
      </c>
      <c r="H18" s="185">
        <f t="shared" si="3"/>
        <v>0</v>
      </c>
      <c r="I18" s="185">
        <f t="shared" si="3"/>
        <v>0</v>
      </c>
      <c r="J18" s="183" t="e">
        <f t="shared" si="3"/>
        <v>#REF!</v>
      </c>
      <c r="K18" s="185">
        <f t="shared" si="3"/>
        <v>0</v>
      </c>
      <c r="L18" s="185" t="e">
        <f t="shared" si="3"/>
        <v>#REF!</v>
      </c>
      <c r="M18" s="185" t="e">
        <f t="shared" si="3"/>
        <v>#REF!</v>
      </c>
      <c r="N18" s="185">
        <f t="shared" si="3"/>
        <v>0</v>
      </c>
      <c r="O18" s="185">
        <f t="shared" si="3"/>
        <v>0</v>
      </c>
    </row>
    <row r="19" spans="1:15" ht="13.5" thickTop="1" thickBot="1">
      <c r="A19" s="862"/>
      <c r="B19" s="186" t="s">
        <v>34</v>
      </c>
      <c r="C19" s="187" t="s">
        <v>192</v>
      </c>
      <c r="D19" s="188" t="e">
        <f t="shared" ref="D19:D29" si="4">SUM(E19:I19)</f>
        <v>#REF!</v>
      </c>
      <c r="E19" s="235"/>
      <c r="F19" s="184" t="e">
        <f>'9 месяцев'!F19+#REF!</f>
        <v>#REF!</v>
      </c>
      <c r="G19" s="235"/>
      <c r="H19" s="235"/>
      <c r="I19" s="235">
        <v>0</v>
      </c>
      <c r="J19" s="188" t="e">
        <f t="shared" ref="J19:J29" si="5">SUM(K19:O19)</f>
        <v>#REF!</v>
      </c>
      <c r="K19" s="235"/>
      <c r="L19" s="184" t="e">
        <f>'9 месяцев'!L19+#REF!</f>
        <v>#REF!</v>
      </c>
      <c r="M19" s="235"/>
      <c r="N19" s="235"/>
      <c r="O19" s="235"/>
    </row>
    <row r="20" spans="1:15" ht="13.5" thickTop="1" thickBot="1">
      <c r="A20" s="862"/>
      <c r="B20" s="190" t="s">
        <v>35</v>
      </c>
      <c r="C20" s="187" t="s">
        <v>191</v>
      </c>
      <c r="D20" s="188" t="e">
        <f t="shared" si="4"/>
        <v>#REF!</v>
      </c>
      <c r="E20" s="235"/>
      <c r="F20" s="184" t="e">
        <f>'9 месяцев'!F20+#REF!</f>
        <v>#REF!</v>
      </c>
      <c r="G20" s="184" t="e">
        <f>'9 месяцев'!G20+#REF!</f>
        <v>#REF!</v>
      </c>
      <c r="H20" s="235"/>
      <c r="I20" s="235">
        <v>0</v>
      </c>
      <c r="J20" s="188" t="e">
        <f t="shared" si="5"/>
        <v>#REF!</v>
      </c>
      <c r="K20" s="235"/>
      <c r="L20" s="184" t="e">
        <f>'9 месяцев'!L20+#REF!</f>
        <v>#REF!</v>
      </c>
      <c r="M20" s="184" t="e">
        <f>'9 месяцев'!M20+#REF!</f>
        <v>#REF!</v>
      </c>
      <c r="N20" s="235"/>
      <c r="O20" s="235"/>
    </row>
    <row r="21" spans="1:15" ht="13.5" thickTop="1" thickBot="1">
      <c r="A21" s="862"/>
      <c r="B21" s="182" t="s">
        <v>36</v>
      </c>
      <c r="C21" s="182" t="s">
        <v>37</v>
      </c>
      <c r="D21" s="183" t="e">
        <f t="shared" si="4"/>
        <v>#REF!</v>
      </c>
      <c r="E21" s="235"/>
      <c r="F21" s="184" t="e">
        <f>'9 месяцев'!F21+#REF!</f>
        <v>#REF!</v>
      </c>
      <c r="G21" s="184" t="e">
        <f>'9 месяцев'!G21+#REF!</f>
        <v>#REF!</v>
      </c>
      <c r="H21" s="235"/>
      <c r="I21" s="235">
        <v>0</v>
      </c>
      <c r="J21" s="183" t="e">
        <f t="shared" si="5"/>
        <v>#REF!</v>
      </c>
      <c r="K21" s="235"/>
      <c r="L21" s="184" t="e">
        <f>'9 месяцев'!L21+#REF!</f>
        <v>#REF!</v>
      </c>
      <c r="M21" s="184" t="e">
        <f>'9 месяцев'!M21+#REF!</f>
        <v>#REF!</v>
      </c>
      <c r="N21" s="235"/>
      <c r="O21" s="235"/>
    </row>
    <row r="22" spans="1:15" s="17" customFormat="1" ht="13.5" thickTop="1" thickBot="1">
      <c r="A22" s="862"/>
      <c r="B22" s="232" t="s">
        <v>38</v>
      </c>
      <c r="C22" s="232" t="s">
        <v>39</v>
      </c>
      <c r="D22" s="192" t="e">
        <f t="shared" si="4"/>
        <v>#REF!</v>
      </c>
      <c r="E22" s="192" t="e">
        <f>SUM(E23:E25,E28,E29)</f>
        <v>#REF!</v>
      </c>
      <c r="F22" s="192" t="e">
        <f>SUM(F23:F25,F28,F29)</f>
        <v>#REF!</v>
      </c>
      <c r="G22" s="192" t="e">
        <f>SUM(G23:G25,G28,G29)</f>
        <v>#REF!</v>
      </c>
      <c r="H22" s="192" t="e">
        <f>SUM(H23:H25,H28,H29)</f>
        <v>#REF!</v>
      </c>
      <c r="I22" s="192" t="e">
        <f>SUM(I23:I25,I28,I29)</f>
        <v>#REF!</v>
      </c>
      <c r="J22" s="192" t="e">
        <f t="shared" si="5"/>
        <v>#REF!</v>
      </c>
      <c r="K22" s="192" t="e">
        <f>SUM(K23:K25,K28,K29)</f>
        <v>#REF!</v>
      </c>
      <c r="L22" s="192" t="e">
        <f>SUM(L23:L25,L28,L29)</f>
        <v>#REF!</v>
      </c>
      <c r="M22" s="192" t="e">
        <f>SUM(M23:M25,M28,M29)</f>
        <v>#REF!</v>
      </c>
      <c r="N22" s="192" t="e">
        <f>SUM(N23:N25,N28,N29)</f>
        <v>#REF!</v>
      </c>
      <c r="O22" s="192" t="e">
        <f>SUM(O23:O25,O28,O29)</f>
        <v>#REF!</v>
      </c>
    </row>
    <row r="23" spans="1:15" ht="13.5" thickTop="1" thickBot="1">
      <c r="A23" s="862"/>
      <c r="B23" s="182" t="s">
        <v>40</v>
      </c>
      <c r="C23" s="182" t="s">
        <v>41</v>
      </c>
      <c r="D23" s="183">
        <f t="shared" si="4"/>
        <v>0</v>
      </c>
      <c r="E23" s="183">
        <f t="shared" ref="E23:I28" si="6">E7-E16</f>
        <v>0</v>
      </c>
      <c r="F23" s="183">
        <f t="shared" si="6"/>
        <v>0</v>
      </c>
      <c r="G23" s="183">
        <f t="shared" si="6"/>
        <v>0</v>
      </c>
      <c r="H23" s="183">
        <f t="shared" si="6"/>
        <v>0</v>
      </c>
      <c r="I23" s="183">
        <f t="shared" si="6"/>
        <v>0</v>
      </c>
      <c r="J23" s="183">
        <f t="shared" si="5"/>
        <v>0</v>
      </c>
      <c r="K23" s="183">
        <f t="shared" ref="K23:O28" si="7">K7-K16</f>
        <v>0</v>
      </c>
      <c r="L23" s="183">
        <f t="shared" si="7"/>
        <v>0</v>
      </c>
      <c r="M23" s="183">
        <f t="shared" si="7"/>
        <v>0</v>
      </c>
      <c r="N23" s="183">
        <f t="shared" si="7"/>
        <v>0</v>
      </c>
      <c r="O23" s="183">
        <f t="shared" si="7"/>
        <v>0</v>
      </c>
    </row>
    <row r="24" spans="1:15" ht="13.5" thickTop="1" thickBot="1">
      <c r="A24" s="862"/>
      <c r="B24" s="182" t="s">
        <v>42</v>
      </c>
      <c r="C24" s="182" t="s">
        <v>43</v>
      </c>
      <c r="D24" s="183" t="e">
        <f t="shared" si="4"/>
        <v>#REF!</v>
      </c>
      <c r="E24" s="183" t="e">
        <f t="shared" si="6"/>
        <v>#REF!</v>
      </c>
      <c r="F24" s="183" t="e">
        <f t="shared" si="6"/>
        <v>#REF!</v>
      </c>
      <c r="G24" s="183" t="e">
        <f t="shared" si="6"/>
        <v>#REF!</v>
      </c>
      <c r="H24" s="183" t="e">
        <f t="shared" si="6"/>
        <v>#REF!</v>
      </c>
      <c r="I24" s="183" t="e">
        <f t="shared" si="6"/>
        <v>#REF!</v>
      </c>
      <c r="J24" s="183" t="e">
        <f t="shared" si="5"/>
        <v>#REF!</v>
      </c>
      <c r="K24" s="183" t="e">
        <f t="shared" si="7"/>
        <v>#REF!</v>
      </c>
      <c r="L24" s="183" t="e">
        <f t="shared" si="7"/>
        <v>#REF!</v>
      </c>
      <c r="M24" s="183" t="e">
        <f t="shared" si="7"/>
        <v>#REF!</v>
      </c>
      <c r="N24" s="183" t="e">
        <f t="shared" si="7"/>
        <v>#REF!</v>
      </c>
      <c r="O24" s="183" t="e">
        <f t="shared" si="7"/>
        <v>#REF!</v>
      </c>
    </row>
    <row r="25" spans="1:15" ht="13.5" thickTop="1" thickBot="1">
      <c r="A25" s="862"/>
      <c r="B25" s="182" t="s">
        <v>44</v>
      </c>
      <c r="C25" s="182" t="s">
        <v>45</v>
      </c>
      <c r="D25" s="183" t="e">
        <f t="shared" si="4"/>
        <v>#REF!</v>
      </c>
      <c r="E25" s="183">
        <f t="shared" si="6"/>
        <v>0</v>
      </c>
      <c r="F25" s="183" t="e">
        <f t="shared" si="6"/>
        <v>#REF!</v>
      </c>
      <c r="G25" s="183" t="e">
        <f t="shared" si="6"/>
        <v>#REF!</v>
      </c>
      <c r="H25" s="183">
        <f t="shared" si="6"/>
        <v>0</v>
      </c>
      <c r="I25" s="183">
        <f t="shared" si="6"/>
        <v>0</v>
      </c>
      <c r="J25" s="183" t="e">
        <f t="shared" si="5"/>
        <v>#REF!</v>
      </c>
      <c r="K25" s="183">
        <f t="shared" si="7"/>
        <v>0</v>
      </c>
      <c r="L25" s="183" t="e">
        <f t="shared" si="7"/>
        <v>#REF!</v>
      </c>
      <c r="M25" s="183" t="e">
        <f t="shared" si="7"/>
        <v>#REF!</v>
      </c>
      <c r="N25" s="183">
        <f t="shared" si="7"/>
        <v>0</v>
      </c>
      <c r="O25" s="183">
        <f t="shared" si="7"/>
        <v>0</v>
      </c>
    </row>
    <row r="26" spans="1:15" ht="13.5" thickTop="1" thickBot="1">
      <c r="A26" s="862"/>
      <c r="B26" s="186" t="s">
        <v>46</v>
      </c>
      <c r="C26" s="187" t="s">
        <v>192</v>
      </c>
      <c r="D26" s="183" t="e">
        <f t="shared" si="4"/>
        <v>#REF!</v>
      </c>
      <c r="E26" s="188">
        <f t="shared" si="6"/>
        <v>0</v>
      </c>
      <c r="F26" s="188" t="e">
        <f t="shared" si="6"/>
        <v>#REF!</v>
      </c>
      <c r="G26" s="188">
        <f t="shared" si="6"/>
        <v>0</v>
      </c>
      <c r="H26" s="188">
        <f t="shared" si="6"/>
        <v>0</v>
      </c>
      <c r="I26" s="188">
        <f t="shared" si="6"/>
        <v>0</v>
      </c>
      <c r="J26" s="183" t="e">
        <f t="shared" si="5"/>
        <v>#REF!</v>
      </c>
      <c r="K26" s="188">
        <f t="shared" si="7"/>
        <v>0</v>
      </c>
      <c r="L26" s="188" t="e">
        <f t="shared" si="7"/>
        <v>#REF!</v>
      </c>
      <c r="M26" s="188">
        <f t="shared" si="7"/>
        <v>0</v>
      </c>
      <c r="N26" s="188">
        <f t="shared" si="7"/>
        <v>0</v>
      </c>
      <c r="O26" s="188">
        <f t="shared" si="7"/>
        <v>0</v>
      </c>
    </row>
    <row r="27" spans="1:15" ht="13.5" thickTop="1" thickBot="1">
      <c r="A27" s="862"/>
      <c r="B27" s="186" t="s">
        <v>47</v>
      </c>
      <c r="C27" s="187" t="s">
        <v>191</v>
      </c>
      <c r="D27" s="183" t="e">
        <f t="shared" si="4"/>
        <v>#REF!</v>
      </c>
      <c r="E27" s="188">
        <f t="shared" si="6"/>
        <v>0</v>
      </c>
      <c r="F27" s="188" t="e">
        <f t="shared" si="6"/>
        <v>#REF!</v>
      </c>
      <c r="G27" s="188" t="e">
        <f t="shared" si="6"/>
        <v>#REF!</v>
      </c>
      <c r="H27" s="188">
        <f t="shared" si="6"/>
        <v>0</v>
      </c>
      <c r="I27" s="188">
        <f t="shared" si="6"/>
        <v>0</v>
      </c>
      <c r="J27" s="183" t="e">
        <f t="shared" si="5"/>
        <v>#REF!</v>
      </c>
      <c r="K27" s="188">
        <f t="shared" si="7"/>
        <v>0</v>
      </c>
      <c r="L27" s="188" t="e">
        <f t="shared" si="7"/>
        <v>#REF!</v>
      </c>
      <c r="M27" s="188" t="e">
        <f t="shared" si="7"/>
        <v>#REF!</v>
      </c>
      <c r="N27" s="188">
        <f t="shared" si="7"/>
        <v>0</v>
      </c>
      <c r="O27" s="188">
        <f t="shared" si="7"/>
        <v>0</v>
      </c>
    </row>
    <row r="28" spans="1:15" ht="13.5" thickTop="1" thickBot="1">
      <c r="A28" s="862"/>
      <c r="B28" s="182" t="s">
        <v>48</v>
      </c>
      <c r="C28" s="182" t="s">
        <v>49</v>
      </c>
      <c r="D28" s="183" t="e">
        <f t="shared" si="4"/>
        <v>#REF!</v>
      </c>
      <c r="E28" s="183">
        <f t="shared" si="6"/>
        <v>0</v>
      </c>
      <c r="F28" s="183" t="e">
        <f t="shared" si="6"/>
        <v>#REF!</v>
      </c>
      <c r="G28" s="183" t="e">
        <f t="shared" si="6"/>
        <v>#REF!</v>
      </c>
      <c r="H28" s="183" t="e">
        <f t="shared" si="6"/>
        <v>#REF!</v>
      </c>
      <c r="I28" s="183">
        <f t="shared" si="6"/>
        <v>0</v>
      </c>
      <c r="J28" s="183" t="e">
        <f t="shared" si="5"/>
        <v>#REF!</v>
      </c>
      <c r="K28" s="183">
        <f t="shared" si="7"/>
        <v>0</v>
      </c>
      <c r="L28" s="183" t="e">
        <f t="shared" si="7"/>
        <v>#REF!</v>
      </c>
      <c r="M28" s="183" t="e">
        <f t="shared" si="7"/>
        <v>#REF!</v>
      </c>
      <c r="N28" s="183" t="e">
        <f t="shared" si="7"/>
        <v>#REF!</v>
      </c>
      <c r="O28" s="183">
        <f t="shared" si="7"/>
        <v>0</v>
      </c>
    </row>
    <row r="29" spans="1:15" ht="13.5" thickTop="1" thickBot="1">
      <c r="A29" s="862"/>
      <c r="B29" s="182" t="s">
        <v>50</v>
      </c>
      <c r="C29" s="182" t="s">
        <v>25</v>
      </c>
      <c r="D29" s="183" t="e">
        <f t="shared" si="4"/>
        <v>#REF!</v>
      </c>
      <c r="E29" s="183">
        <f>E14</f>
        <v>0</v>
      </c>
      <c r="F29" s="183">
        <f>F14</f>
        <v>0</v>
      </c>
      <c r="G29" s="183" t="e">
        <f>G14</f>
        <v>#REF!</v>
      </c>
      <c r="H29" s="183">
        <f>H14</f>
        <v>0</v>
      </c>
      <c r="I29" s="183">
        <f>I14</f>
        <v>0</v>
      </c>
      <c r="J29" s="183" t="e">
        <f t="shared" si="5"/>
        <v>#REF!</v>
      </c>
      <c r="K29" s="183">
        <f>K14</f>
        <v>0</v>
      </c>
      <c r="L29" s="183">
        <f>L14</f>
        <v>0</v>
      </c>
      <c r="M29" s="183" t="e">
        <f>M14</f>
        <v>#REF!</v>
      </c>
      <c r="N29" s="183">
        <f>N14</f>
        <v>0</v>
      </c>
      <c r="O29" s="183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180" t="e">
        <f>SUM(F30:I30)</f>
        <v>#REF!</v>
      </c>
      <c r="E30" s="180"/>
      <c r="F30" s="180">
        <f>SUM(F31:F33)</f>
        <v>0</v>
      </c>
      <c r="G30" s="180" t="e">
        <f>SUM(G31:G33)</f>
        <v>#REF!</v>
      </c>
      <c r="H30" s="180" t="e">
        <f>SUM(H31:H33)</f>
        <v>#REF!</v>
      </c>
      <c r="I30" s="180" t="e">
        <f>SUM(I31:I33)</f>
        <v>#REF!</v>
      </c>
      <c r="J30" s="180" t="e">
        <f>SUM(L30:O30)</f>
        <v>#REF!</v>
      </c>
      <c r="K30" s="180"/>
      <c r="L30" s="180">
        <f>SUM(L31:L33)</f>
        <v>0</v>
      </c>
      <c r="M30" s="180" t="e">
        <f>SUM(M31:M33)</f>
        <v>#REF!</v>
      </c>
      <c r="N30" s="180" t="e">
        <f>SUM(N31:N33)</f>
        <v>#REF!</v>
      </c>
      <c r="O30" s="180" t="e">
        <f>SUM(O31:O33)</f>
        <v>#REF!</v>
      </c>
    </row>
    <row r="31" spans="1:15" ht="13.5" thickTop="1" thickBot="1">
      <c r="A31" s="862"/>
      <c r="B31" s="182" t="s">
        <v>54</v>
      </c>
      <c r="C31" s="182" t="s">
        <v>55</v>
      </c>
      <c r="D31" s="183" t="e">
        <f t="shared" ref="D31:D43" si="8">SUM(E31:I31)</f>
        <v>#REF!</v>
      </c>
      <c r="E31" s="195"/>
      <c r="F31" s="235"/>
      <c r="G31" s="184" t="e">
        <f>'9 месяцев'!G31+#REF!</f>
        <v>#REF!</v>
      </c>
      <c r="H31" s="184" t="e">
        <f>'9 месяцев'!H31+#REF!</f>
        <v>#REF!</v>
      </c>
      <c r="I31" s="195"/>
      <c r="J31" s="183" t="e">
        <f t="shared" ref="J31:J43" si="9">SUM(K31:O31)</f>
        <v>#REF!</v>
      </c>
      <c r="K31" s="195"/>
      <c r="L31" s="196"/>
      <c r="M31" s="183" t="e">
        <f>L36</f>
        <v>#REF!</v>
      </c>
      <c r="N31" s="183" t="e">
        <f>L37</f>
        <v>#REF!</v>
      </c>
      <c r="O31" s="195"/>
    </row>
    <row r="32" spans="1:15" ht="13.5" thickTop="1" thickBot="1">
      <c r="A32" s="862"/>
      <c r="B32" s="182" t="s">
        <v>56</v>
      </c>
      <c r="C32" s="182" t="s">
        <v>57</v>
      </c>
      <c r="D32" s="183" t="e">
        <f t="shared" si="8"/>
        <v>#REF!</v>
      </c>
      <c r="E32" s="195"/>
      <c r="F32" s="195"/>
      <c r="G32" s="195"/>
      <c r="H32" s="184" t="e">
        <f>'9 месяцев'!H32+#REF!</f>
        <v>#REF!</v>
      </c>
      <c r="I32" s="235"/>
      <c r="J32" s="183" t="e">
        <f t="shared" si="9"/>
        <v>#REF!</v>
      </c>
      <c r="K32" s="195"/>
      <c r="L32" s="195"/>
      <c r="M32" s="195"/>
      <c r="N32" s="183" t="e">
        <f>M37</f>
        <v>#REF!</v>
      </c>
      <c r="O32" s="196">
        <f>M43</f>
        <v>0</v>
      </c>
    </row>
    <row r="33" spans="1:15" ht="13.5" thickTop="1" thickBot="1">
      <c r="A33" s="862"/>
      <c r="B33" s="182" t="s">
        <v>58</v>
      </c>
      <c r="C33" s="182" t="s">
        <v>59</v>
      </c>
      <c r="D33" s="183" t="e">
        <f t="shared" si="8"/>
        <v>#REF!</v>
      </c>
      <c r="E33" s="195"/>
      <c r="F33" s="195"/>
      <c r="G33" s="195"/>
      <c r="H33" s="195"/>
      <c r="I33" s="184" t="e">
        <f>'9 месяцев'!I33+#REF!</f>
        <v>#REF!</v>
      </c>
      <c r="J33" s="183" t="e">
        <f t="shared" si="9"/>
        <v>#REF!</v>
      </c>
      <c r="K33" s="195"/>
      <c r="L33" s="195"/>
      <c r="M33" s="195"/>
      <c r="N33" s="195"/>
      <c r="O33" s="183" t="e">
        <f>M38+N38</f>
        <v>#REF!</v>
      </c>
    </row>
    <row r="34" spans="1:15" ht="13.5" thickTop="1" thickBot="1">
      <c r="A34" s="862"/>
      <c r="B34" s="179" t="s">
        <v>60</v>
      </c>
      <c r="C34" s="179" t="s">
        <v>61</v>
      </c>
      <c r="D34" s="180" t="e">
        <f t="shared" si="8"/>
        <v>#REF!</v>
      </c>
      <c r="E34" s="180"/>
      <c r="F34" s="180" t="e">
        <f>SUM(F35:F38)</f>
        <v>#REF!</v>
      </c>
      <c r="G34" s="180" t="e">
        <f>SUM(G35:G38)</f>
        <v>#REF!</v>
      </c>
      <c r="H34" s="180" t="e">
        <f>SUM(H35:H38)</f>
        <v>#REF!</v>
      </c>
      <c r="I34" s="181">
        <f>SUM(I35:I38)</f>
        <v>0</v>
      </c>
      <c r="J34" s="180" t="e">
        <f t="shared" si="9"/>
        <v>#REF!</v>
      </c>
      <c r="K34" s="180"/>
      <c r="L34" s="180" t="e">
        <f>SUM(L35:L38)</f>
        <v>#REF!</v>
      </c>
      <c r="M34" s="180" t="e">
        <f>SUM(M35:M38)</f>
        <v>#REF!</v>
      </c>
      <c r="N34" s="180" t="e">
        <f>SUM(N35:N38)</f>
        <v>#REF!</v>
      </c>
      <c r="O34" s="181">
        <f>SUM(O35:O38)</f>
        <v>0</v>
      </c>
    </row>
    <row r="35" spans="1:15" ht="13.5" thickTop="1" thickBot="1">
      <c r="A35" s="862"/>
      <c r="B35" s="182" t="s">
        <v>62</v>
      </c>
      <c r="C35" s="182" t="s">
        <v>63</v>
      </c>
      <c r="D35" s="183">
        <f t="shared" si="8"/>
        <v>0</v>
      </c>
      <c r="E35" s="196"/>
      <c r="F35" s="195"/>
      <c r="G35" s="195"/>
      <c r="H35" s="195"/>
      <c r="I35" s="195"/>
      <c r="J35" s="183">
        <f t="shared" si="9"/>
        <v>0</v>
      </c>
      <c r="K35" s="196"/>
      <c r="L35" s="195"/>
      <c r="M35" s="195"/>
      <c r="N35" s="195"/>
      <c r="O35" s="195"/>
    </row>
    <row r="36" spans="1:15" ht="13.5" thickTop="1" thickBot="1">
      <c r="A36" s="862"/>
      <c r="B36" s="182" t="s">
        <v>64</v>
      </c>
      <c r="C36" s="182" t="s">
        <v>65</v>
      </c>
      <c r="D36" s="183" t="e">
        <f t="shared" si="8"/>
        <v>#REF!</v>
      </c>
      <c r="E36" s="183"/>
      <c r="F36" s="185" t="e">
        <f>G31</f>
        <v>#REF!</v>
      </c>
      <c r="G36" s="195"/>
      <c r="H36" s="195"/>
      <c r="I36" s="195"/>
      <c r="J36" s="183" t="e">
        <f t="shared" si="9"/>
        <v>#REF!</v>
      </c>
      <c r="K36" s="183"/>
      <c r="L36" s="184" t="e">
        <f>'9 месяцев'!L36+#REF!</f>
        <v>#REF!</v>
      </c>
      <c r="M36" s="195"/>
      <c r="N36" s="195"/>
      <c r="O36" s="195"/>
    </row>
    <row r="37" spans="1:15" ht="13.5" thickTop="1" thickBot="1">
      <c r="A37" s="862"/>
      <c r="B37" s="182" t="s">
        <v>66</v>
      </c>
      <c r="C37" s="182" t="s">
        <v>67</v>
      </c>
      <c r="D37" s="183" t="e">
        <f t="shared" si="8"/>
        <v>#REF!</v>
      </c>
      <c r="E37" s="183"/>
      <c r="F37" s="185" t="e">
        <f>H31</f>
        <v>#REF!</v>
      </c>
      <c r="G37" s="185" t="e">
        <f>H32</f>
        <v>#REF!</v>
      </c>
      <c r="H37" s="195"/>
      <c r="I37" s="195"/>
      <c r="J37" s="183" t="e">
        <f t="shared" si="9"/>
        <v>#REF!</v>
      </c>
      <c r="K37" s="183"/>
      <c r="L37" s="184" t="e">
        <f>'9 месяцев'!L37+#REF!</f>
        <v>#REF!</v>
      </c>
      <c r="M37" s="184" t="e">
        <f>'9 месяцев'!M37+#REF!</f>
        <v>#REF!</v>
      </c>
      <c r="N37" s="195"/>
      <c r="O37" s="195"/>
    </row>
    <row r="38" spans="1:15" ht="13.5" thickTop="1" thickBot="1">
      <c r="A38" s="862"/>
      <c r="B38" s="182" t="s">
        <v>68</v>
      </c>
      <c r="C38" s="182" t="s">
        <v>69</v>
      </c>
      <c r="D38" s="183" t="e">
        <f t="shared" si="8"/>
        <v>#REF!</v>
      </c>
      <c r="E38" s="195"/>
      <c r="F38" s="195"/>
      <c r="G38" s="196"/>
      <c r="H38" s="185" t="e">
        <f>I33</f>
        <v>#REF!</v>
      </c>
      <c r="I38" s="195"/>
      <c r="J38" s="183" t="e">
        <f t="shared" si="9"/>
        <v>#REF!</v>
      </c>
      <c r="K38" s="195"/>
      <c r="L38" s="195"/>
      <c r="M38" s="196"/>
      <c r="N38" s="184" t="e">
        <f>'9 месяцев'!N38+#REF!</f>
        <v>#REF!</v>
      </c>
      <c r="O38" s="195"/>
    </row>
    <row r="39" spans="1:15" s="17" customFormat="1" ht="13.5" thickTop="1" thickBot="1">
      <c r="A39" s="862"/>
      <c r="B39" s="232" t="s">
        <v>70</v>
      </c>
      <c r="C39" s="232" t="s">
        <v>71</v>
      </c>
      <c r="D39" s="192" t="e">
        <f t="shared" si="8"/>
        <v>#REF!</v>
      </c>
      <c r="E39" s="192"/>
      <c r="F39" s="192" t="e">
        <f>SUM(F40:F43)</f>
        <v>#REF!</v>
      </c>
      <c r="G39" s="192" t="e">
        <f>SUM(G40:G43)</f>
        <v>#REF!</v>
      </c>
      <c r="H39" s="192" t="e">
        <f>SUM(H40:H43)</f>
        <v>#REF!</v>
      </c>
      <c r="I39" s="192" t="e">
        <f>SUM(I40:I43)</f>
        <v>#REF!</v>
      </c>
      <c r="J39" s="192" t="e">
        <f t="shared" si="9"/>
        <v>#REF!</v>
      </c>
      <c r="K39" s="192"/>
      <c r="L39" s="192" t="e">
        <f>SUM(L40:L43)</f>
        <v>#REF!</v>
      </c>
      <c r="M39" s="192" t="e">
        <f>SUM(M40:M43)</f>
        <v>#REF!</v>
      </c>
      <c r="N39" s="192" t="e">
        <f>SUM(N40:N43)</f>
        <v>#REF!</v>
      </c>
      <c r="O39" s="192" t="e">
        <f>SUM(O40:O43)</f>
        <v>#REF!</v>
      </c>
    </row>
    <row r="40" spans="1:15" ht="13.5" thickTop="1" thickBot="1">
      <c r="A40" s="862"/>
      <c r="B40" s="182" t="s">
        <v>72</v>
      </c>
      <c r="C40" s="182" t="s">
        <v>5</v>
      </c>
      <c r="D40" s="183" t="e">
        <f t="shared" si="8"/>
        <v>#REF!</v>
      </c>
      <c r="E40" s="196"/>
      <c r="F40" s="196">
        <f>F31-F35</f>
        <v>0</v>
      </c>
      <c r="G40" s="196" t="e">
        <f>G31-G35</f>
        <v>#REF!</v>
      </c>
      <c r="H40" s="196" t="e">
        <f>H31-H35</f>
        <v>#REF!</v>
      </c>
      <c r="I40" s="195"/>
      <c r="J40" s="183" t="e">
        <f t="shared" si="9"/>
        <v>#REF!</v>
      </c>
      <c r="K40" s="196"/>
      <c r="L40" s="196">
        <f>L31-L35</f>
        <v>0</v>
      </c>
      <c r="M40" s="196" t="e">
        <f>M31-M35</f>
        <v>#REF!</v>
      </c>
      <c r="N40" s="196" t="e">
        <f>N31-N35</f>
        <v>#REF!</v>
      </c>
      <c r="O40" s="195"/>
    </row>
    <row r="41" spans="1:15" ht="13.5" thickTop="1" thickBot="1">
      <c r="A41" s="862"/>
      <c r="B41" s="182" t="s">
        <v>73</v>
      </c>
      <c r="C41" s="182" t="s">
        <v>74</v>
      </c>
      <c r="D41" s="183" t="e">
        <f t="shared" si="8"/>
        <v>#REF!</v>
      </c>
      <c r="E41" s="196">
        <f>E32-E36</f>
        <v>0</v>
      </c>
      <c r="F41" s="196" t="e">
        <f>F32-F36</f>
        <v>#REF!</v>
      </c>
      <c r="G41" s="195"/>
      <c r="H41" s="196" t="e">
        <f>H32-H36</f>
        <v>#REF!</v>
      </c>
      <c r="I41" s="195"/>
      <c r="J41" s="183" t="e">
        <f t="shared" si="9"/>
        <v>#REF!</v>
      </c>
      <c r="K41" s="196">
        <f>K32-K36</f>
        <v>0</v>
      </c>
      <c r="L41" s="196" t="e">
        <f>L32-L36</f>
        <v>#REF!</v>
      </c>
      <c r="M41" s="195"/>
      <c r="N41" s="196" t="e">
        <f>N32-N36</f>
        <v>#REF!</v>
      </c>
      <c r="O41" s="195"/>
    </row>
    <row r="42" spans="1:15" ht="13.5" thickTop="1" thickBot="1">
      <c r="A42" s="862"/>
      <c r="B42" s="182" t="s">
        <v>75</v>
      </c>
      <c r="C42" s="182" t="s">
        <v>76</v>
      </c>
      <c r="D42" s="183" t="e">
        <f t="shared" si="8"/>
        <v>#REF!</v>
      </c>
      <c r="E42" s="196">
        <f>E33-E37</f>
        <v>0</v>
      </c>
      <c r="F42" s="196" t="e">
        <f>F33-F37</f>
        <v>#REF!</v>
      </c>
      <c r="G42" s="196" t="e">
        <f>G33-G37</f>
        <v>#REF!</v>
      </c>
      <c r="H42" s="195"/>
      <c r="I42" s="196" t="e">
        <f>I33-I37</f>
        <v>#REF!</v>
      </c>
      <c r="J42" s="183" t="e">
        <f t="shared" si="9"/>
        <v>#REF!</v>
      </c>
      <c r="K42" s="196">
        <f>K33-K37</f>
        <v>0</v>
      </c>
      <c r="L42" s="196" t="e">
        <f>L33-L37</f>
        <v>#REF!</v>
      </c>
      <c r="M42" s="196" t="e">
        <f>M33-M37</f>
        <v>#REF!</v>
      </c>
      <c r="N42" s="195"/>
      <c r="O42" s="196" t="e">
        <f>O33-O37</f>
        <v>#REF!</v>
      </c>
    </row>
    <row r="43" spans="1:15" ht="13.5" thickTop="1" thickBot="1">
      <c r="A43" s="862"/>
      <c r="B43" s="199" t="s">
        <v>77</v>
      </c>
      <c r="C43" s="199" t="s">
        <v>8</v>
      </c>
      <c r="D43" s="196" t="e">
        <f t="shared" si="8"/>
        <v>#REF!</v>
      </c>
      <c r="E43" s="195"/>
      <c r="F43" s="195"/>
      <c r="G43" s="196"/>
      <c r="H43" s="196" t="e">
        <f>-H38</f>
        <v>#REF!</v>
      </c>
      <c r="I43" s="195"/>
      <c r="J43" s="196" t="e">
        <f t="shared" si="9"/>
        <v>#REF!</v>
      </c>
      <c r="K43" s="195"/>
      <c r="L43" s="195"/>
      <c r="M43" s="196"/>
      <c r="N43" s="196" t="e">
        <f>-N38</f>
        <v>#REF!</v>
      </c>
      <c r="O43" s="195"/>
    </row>
    <row r="44" spans="1:15" ht="13.5" thickTop="1" thickBot="1">
      <c r="A44" s="177"/>
      <c r="B44" s="200" t="s">
        <v>78</v>
      </c>
      <c r="C44" s="200" t="s">
        <v>79</v>
      </c>
      <c r="D44" s="201" t="e">
        <f>D22</f>
        <v>#REF!</v>
      </c>
      <c r="E44" s="201" t="e">
        <f>E22+E30</f>
        <v>#REF!</v>
      </c>
      <c r="F44" s="201" t="e">
        <f>F22+F30</f>
        <v>#REF!</v>
      </c>
      <c r="G44" s="201" t="e">
        <f>G22+G30</f>
        <v>#REF!</v>
      </c>
      <c r="H44" s="201" t="e">
        <f>H22+H30</f>
        <v>#REF!</v>
      </c>
      <c r="I44" s="201" t="e">
        <f>I22+I30</f>
        <v>#REF!</v>
      </c>
      <c r="J44" s="201" t="e">
        <f>J22</f>
        <v>#REF!</v>
      </c>
      <c r="K44" s="201" t="e">
        <f>K22+K30</f>
        <v>#REF!</v>
      </c>
      <c r="L44" s="201" t="e">
        <f>L22+L30</f>
        <v>#REF!</v>
      </c>
      <c r="M44" s="201" t="e">
        <f>M22+M30</f>
        <v>#REF!</v>
      </c>
      <c r="N44" s="201" t="e">
        <f>N22+N30</f>
        <v>#REF!</v>
      </c>
      <c r="O44" s="201" t="e">
        <f>O22+O30</f>
        <v>#REF!</v>
      </c>
    </row>
    <row r="45" spans="1:15" ht="13.5" thickTop="1" thickBot="1">
      <c r="A45" s="177"/>
      <c r="B45" s="202" t="s">
        <v>80</v>
      </c>
      <c r="C45" s="202" t="s">
        <v>81</v>
      </c>
      <c r="D45" s="203" t="e">
        <f>D44</f>
        <v>#REF!</v>
      </c>
      <c r="E45" s="203" t="e">
        <f>E143+E151+E34</f>
        <v>#REF!</v>
      </c>
      <c r="F45" s="203" t="e">
        <f>F143+F151+F34-G49-H49-G73-H73-G78-H78-H54-H97-H109-G97-G102-H102-G109-G114-H114-G121-H121-G126-H126-G133-H133</f>
        <v>#REF!</v>
      </c>
      <c r="G45" s="203" t="e">
        <f>G143+G151+G34-H50-I50-H55-I55-H62-I62-H67-I67-H98-H74-H79-H86-H91-H103-H110-H115-H122-H127-H134</f>
        <v>#REF!</v>
      </c>
      <c r="H45" s="203" t="e">
        <f>H143+H151+H34-I51-I56-I63-I68-I75-I80-I87-I92-I99-I104-I111-I116-I123-I128</f>
        <v>#REF!</v>
      </c>
      <c r="I45" s="203" t="e">
        <f>I151+I143</f>
        <v>#REF!</v>
      </c>
      <c r="J45" s="203" t="e">
        <f>J44</f>
        <v>#REF!</v>
      </c>
      <c r="K45" s="203" t="e">
        <f>K143+K151+K34</f>
        <v>#REF!</v>
      </c>
      <c r="L45" s="203" t="e">
        <f>L143+L151+L34-M49-N49-M73-N73-M78-N78-N54-N97-N109-M97-M102-N102-M109-M114-N114-M121-N121-M126-N126-M133-N133</f>
        <v>#REF!</v>
      </c>
      <c r="M45" s="203" t="e">
        <f>M143+M151+M34-N50-O50-N55-O55-N62-O62-N67-O67-N98-N74-N79-N86-N91-N103-N110-N115-N122-N127-N134</f>
        <v>#REF!</v>
      </c>
      <c r="N45" s="203" t="e">
        <f>N143+N151+N34-O51-O56-O63-O68-O75-O80-O87-O92-O99-O104-O111-O116-O123-O128</f>
        <v>#REF!</v>
      </c>
      <c r="O45" s="203" t="e">
        <f>O151+O143</f>
        <v>#REF!</v>
      </c>
    </row>
    <row r="46" spans="1:15" ht="13.5" thickTop="1" thickBot="1">
      <c r="A46" s="862" t="s">
        <v>82</v>
      </c>
      <c r="B46" s="179" t="s">
        <v>83</v>
      </c>
      <c r="C46" s="179" t="s">
        <v>84</v>
      </c>
      <c r="D46" s="181" t="e">
        <f>SUM(E46:I46)</f>
        <v>#REF!</v>
      </c>
      <c r="E46" s="322" t="e">
        <f>E47+E59+E71+E83+E95</f>
        <v>#REF!</v>
      </c>
      <c r="F46" s="322" t="e">
        <f>F47+F59+F71+F83+F95+F107+F119+F131</f>
        <v>#REF!</v>
      </c>
      <c r="G46" s="322" t="e">
        <f>G47+G59+G71+G83+G95+G107+G119+G131</f>
        <v>#REF!</v>
      </c>
      <c r="H46" s="322" t="e">
        <f>H47+H59+H71+H83+H95+H107+H119+H131</f>
        <v>#REF!</v>
      </c>
      <c r="I46" s="322" t="e">
        <f>I47+I59+I71+I83+I95+I107+I119+I131</f>
        <v>#REF!</v>
      </c>
      <c r="J46" s="181" t="e">
        <f>SUM(K46:O46)</f>
        <v>#REF!</v>
      </c>
      <c r="K46" s="322" t="e">
        <f>K47+K59+K71+K83+K95</f>
        <v>#REF!</v>
      </c>
      <c r="L46" s="322" t="e">
        <f>L47+L59+L71+L83+L95+L107+L119+L131</f>
        <v>#REF!</v>
      </c>
      <c r="M46" s="322" t="e">
        <f>M47+M59+M71+M83+M95+M107+M119+M131</f>
        <v>#REF!</v>
      </c>
      <c r="N46" s="322" t="e">
        <f>N47+N59+N71+N83+N95+N107+N119+N131</f>
        <v>#REF!</v>
      </c>
      <c r="O46" s="322" t="e">
        <f>O47+O59+O71+O83+O95+O107+O119+O131</f>
        <v>#REF!</v>
      </c>
    </row>
    <row r="47" spans="1:15" s="3" customFormat="1" ht="13.5" thickTop="1" thickBot="1">
      <c r="A47" s="862"/>
      <c r="B47" s="270" t="s">
        <v>85</v>
      </c>
      <c r="C47" s="271" t="s">
        <v>86</v>
      </c>
      <c r="D47" s="206" t="e">
        <f t="shared" ref="D47:D147" si="10">SUM(E47:I47)</f>
        <v>#REF!</v>
      </c>
      <c r="E47" s="184" t="e">
        <f>'9 месяцев'!E47+#REF!</f>
        <v>#REF!</v>
      </c>
      <c r="F47" s="184" t="e">
        <f>'9 месяцев'!F47+#REF!</f>
        <v>#REF!</v>
      </c>
      <c r="G47" s="184" t="e">
        <f>'9 месяцев'!G47+#REF!</f>
        <v>#REF!</v>
      </c>
      <c r="H47" s="184" t="e">
        <f>'9 месяцев'!H47+#REF!</f>
        <v>#REF!</v>
      </c>
      <c r="I47" s="184" t="e">
        <f>'9 месяцев'!I47+#REF!</f>
        <v>#REF!</v>
      </c>
      <c r="J47" s="206" t="e">
        <f t="shared" ref="J47:J147" si="11">SUM(K47:O47)</f>
        <v>#REF!</v>
      </c>
      <c r="K47" s="184" t="e">
        <f>'9 месяцев'!K47+#REF!</f>
        <v>#REF!</v>
      </c>
      <c r="L47" s="184" t="e">
        <f>'9 месяцев'!L47+#REF!</f>
        <v>#REF!</v>
      </c>
      <c r="M47" s="184" t="e">
        <f>'9 месяцев'!M47+#REF!</f>
        <v>#REF!</v>
      </c>
      <c r="N47" s="184" t="e">
        <f>'9 месяцев'!N47+#REF!</f>
        <v>#REF!</v>
      </c>
      <c r="O47" s="184" t="e">
        <f>'9 месяцев'!O47+#REF!</f>
        <v>#REF!</v>
      </c>
    </row>
    <row r="48" spans="1:15" ht="13.5" thickTop="1" thickBot="1">
      <c r="A48" s="862"/>
      <c r="B48" s="263" t="s">
        <v>87</v>
      </c>
      <c r="C48" s="263" t="s">
        <v>88</v>
      </c>
      <c r="D48" s="196">
        <f t="shared" si="10"/>
        <v>0</v>
      </c>
      <c r="E48" s="196"/>
      <c r="F48" s="196"/>
      <c r="G48" s="196"/>
      <c r="H48" s="196"/>
      <c r="I48" s="196"/>
      <c r="J48" s="196">
        <f t="shared" si="11"/>
        <v>0</v>
      </c>
      <c r="K48" s="196"/>
      <c r="L48" s="196"/>
      <c r="M48" s="196"/>
      <c r="N48" s="196"/>
      <c r="O48" s="196"/>
    </row>
    <row r="49" spans="1:15" ht="13.5" thickTop="1" thickBot="1">
      <c r="A49" s="862"/>
      <c r="B49" s="275"/>
      <c r="C49" s="276" t="s">
        <v>89</v>
      </c>
      <c r="D49" s="209" t="e">
        <f t="shared" si="10"/>
        <v>#REF!</v>
      </c>
      <c r="E49" s="210"/>
      <c r="F49" s="210"/>
      <c r="G49" s="240"/>
      <c r="H49" s="184" t="e">
        <f>'9 месяцев'!H49+#REF!</f>
        <v>#REF!</v>
      </c>
      <c r="I49" s="210"/>
      <c r="J49" s="209" t="e">
        <f t="shared" si="11"/>
        <v>#REF!</v>
      </c>
      <c r="K49" s="210"/>
      <c r="L49" s="210"/>
      <c r="M49" s="240"/>
      <c r="N49" s="184" t="e">
        <f>'9 месяцев'!N49+#REF!</f>
        <v>#REF!</v>
      </c>
      <c r="O49" s="210"/>
    </row>
    <row r="50" spans="1:15" ht="13.5" thickTop="1" thickBot="1">
      <c r="A50" s="862"/>
      <c r="B50" s="275"/>
      <c r="C50" s="276" t="s">
        <v>90</v>
      </c>
      <c r="D50" s="209" t="e">
        <f t="shared" si="10"/>
        <v>#REF!</v>
      </c>
      <c r="E50" s="210"/>
      <c r="F50" s="210"/>
      <c r="G50" s="210"/>
      <c r="H50" s="184" t="e">
        <f>'9 месяцев'!H50+#REF!</f>
        <v>#REF!</v>
      </c>
      <c r="I50" s="235"/>
      <c r="J50" s="209" t="e">
        <f t="shared" si="11"/>
        <v>#REF!</v>
      </c>
      <c r="K50" s="210"/>
      <c r="L50" s="210"/>
      <c r="M50" s="210"/>
      <c r="N50" s="184" t="e">
        <f>'9 месяцев'!N50+#REF!</f>
        <v>#REF!</v>
      </c>
      <c r="O50" s="235"/>
    </row>
    <row r="51" spans="1:15" ht="13.5" thickTop="1" thickBot="1">
      <c r="A51" s="862"/>
      <c r="B51" s="275"/>
      <c r="C51" s="276" t="s">
        <v>91</v>
      </c>
      <c r="D51" s="209">
        <f t="shared" si="10"/>
        <v>0</v>
      </c>
      <c r="E51" s="210"/>
      <c r="F51" s="210"/>
      <c r="G51" s="210"/>
      <c r="H51" s="210"/>
      <c r="I51" s="240"/>
      <c r="J51" s="209">
        <f t="shared" si="11"/>
        <v>0</v>
      </c>
      <c r="K51" s="210"/>
      <c r="L51" s="210"/>
      <c r="M51" s="210"/>
      <c r="N51" s="210"/>
      <c r="O51" s="240"/>
    </row>
    <row r="52" spans="1:15" ht="13.5" thickTop="1" thickBot="1">
      <c r="A52" s="862"/>
      <c r="B52" s="263" t="s">
        <v>92</v>
      </c>
      <c r="C52" s="263" t="s">
        <v>93</v>
      </c>
      <c r="D52" s="196" t="e">
        <f t="shared" si="10"/>
        <v>#REF!</v>
      </c>
      <c r="E52" s="196"/>
      <c r="F52" s="184" t="e">
        <f>'9 месяцев'!F52+#REF!</f>
        <v>#REF!</v>
      </c>
      <c r="G52" s="184" t="e">
        <f>'9 месяцев'!G52+#REF!</f>
        <v>#REF!</v>
      </c>
      <c r="H52" s="184" t="e">
        <f>'9 месяцев'!H52+#REF!</f>
        <v>#REF!</v>
      </c>
      <c r="I52" s="184" t="e">
        <f>'9 месяцев'!I52+#REF!</f>
        <v>#REF!</v>
      </c>
      <c r="J52" s="196" t="e">
        <f t="shared" si="11"/>
        <v>#REF!</v>
      </c>
      <c r="K52" s="196"/>
      <c r="L52" s="184" t="e">
        <f>'9 месяцев'!L52+#REF!</f>
        <v>#REF!</v>
      </c>
      <c r="M52" s="184" t="e">
        <f>'9 месяцев'!M52+#REF!</f>
        <v>#REF!</v>
      </c>
      <c r="N52" s="184" t="e">
        <f>'9 месяцев'!N52+#REF!</f>
        <v>#REF!</v>
      </c>
      <c r="O52" s="184" t="e">
        <f>'9 месяцев'!O52+#REF!</f>
        <v>#REF!</v>
      </c>
    </row>
    <row r="53" spans="1:15" ht="13.5" thickTop="1" thickBot="1">
      <c r="A53" s="862"/>
      <c r="B53" s="263" t="s">
        <v>94</v>
      </c>
      <c r="C53" s="263" t="s">
        <v>95</v>
      </c>
      <c r="D53" s="213" t="e">
        <f t="shared" si="10"/>
        <v>#REF!</v>
      </c>
      <c r="E53" s="240"/>
      <c r="F53" s="212"/>
      <c r="G53" s="184" t="e">
        <f>'9 месяцев'!G53+#REF!</f>
        <v>#REF!</v>
      </c>
      <c r="H53" s="184" t="e">
        <f>'9 месяцев'!H53+#REF!</f>
        <v>#REF!</v>
      </c>
      <c r="I53" s="184" t="e">
        <f>'9 месяцев'!I53+#REF!</f>
        <v>#REF!</v>
      </c>
      <c r="J53" s="213" t="e">
        <f t="shared" si="11"/>
        <v>#REF!</v>
      </c>
      <c r="K53" s="240"/>
      <c r="L53" s="212"/>
      <c r="M53" s="184" t="e">
        <f>'9 месяцев'!M53+#REF!</f>
        <v>#REF!</v>
      </c>
      <c r="N53" s="184" t="e">
        <f>'9 месяцев'!N53+#REF!</f>
        <v>#REF!</v>
      </c>
      <c r="O53" s="184" t="e">
        <f>'9 месяцев'!O53+#REF!</f>
        <v>#REF!</v>
      </c>
    </row>
    <row r="54" spans="1:15" ht="13.5" thickTop="1" thickBot="1">
      <c r="A54" s="862"/>
      <c r="B54" s="275"/>
      <c r="C54" s="276" t="s">
        <v>89</v>
      </c>
      <c r="D54" s="209" t="e">
        <f t="shared" si="10"/>
        <v>#REF!</v>
      </c>
      <c r="E54" s="210"/>
      <c r="F54" s="210"/>
      <c r="G54" s="240"/>
      <c r="H54" s="184" t="e">
        <f>'9 месяцев'!H54+#REF!</f>
        <v>#REF!</v>
      </c>
      <c r="I54" s="210"/>
      <c r="J54" s="209" t="e">
        <f t="shared" si="11"/>
        <v>#REF!</v>
      </c>
      <c r="K54" s="210"/>
      <c r="L54" s="210"/>
      <c r="M54" s="240"/>
      <c r="N54" s="184" t="e">
        <f>'9 месяцев'!N54+#REF!</f>
        <v>#REF!</v>
      </c>
      <c r="O54" s="210"/>
    </row>
    <row r="55" spans="1:15" ht="13.5" thickTop="1" thickBot="1">
      <c r="A55" s="862"/>
      <c r="B55" s="275"/>
      <c r="C55" s="276" t="s">
        <v>90</v>
      </c>
      <c r="D55" s="209">
        <f t="shared" si="10"/>
        <v>0</v>
      </c>
      <c r="E55" s="210"/>
      <c r="F55" s="210"/>
      <c r="G55" s="210"/>
      <c r="H55" s="212"/>
      <c r="I55" s="212"/>
      <c r="J55" s="209">
        <f t="shared" si="11"/>
        <v>0</v>
      </c>
      <c r="K55" s="210"/>
      <c r="L55" s="210"/>
      <c r="M55" s="210"/>
      <c r="N55" s="235"/>
      <c r="O55" s="235"/>
    </row>
    <row r="56" spans="1:15" ht="13.5" thickTop="1" thickBot="1">
      <c r="A56" s="862"/>
      <c r="B56" s="275"/>
      <c r="C56" s="276" t="s">
        <v>91</v>
      </c>
      <c r="D56" s="209">
        <f t="shared" si="10"/>
        <v>0</v>
      </c>
      <c r="E56" s="210"/>
      <c r="F56" s="210"/>
      <c r="G56" s="210"/>
      <c r="H56" s="210"/>
      <c r="I56" s="212"/>
      <c r="J56" s="209">
        <f t="shared" si="11"/>
        <v>0</v>
      </c>
      <c r="K56" s="210"/>
      <c r="L56" s="210"/>
      <c r="M56" s="210"/>
      <c r="N56" s="210"/>
      <c r="O56" s="235"/>
    </row>
    <row r="57" spans="1:15" ht="13.5" thickTop="1" thickBot="1">
      <c r="A57" s="862"/>
      <c r="B57" s="263" t="s">
        <v>96</v>
      </c>
      <c r="C57" s="263" t="s">
        <v>97</v>
      </c>
      <c r="D57" s="196" t="e">
        <f t="shared" si="10"/>
        <v>#REF!</v>
      </c>
      <c r="E57" s="196"/>
      <c r="F57" s="196"/>
      <c r="G57" s="196"/>
      <c r="H57" s="184" t="e">
        <f>'9 месяцев'!H57+#REF!</f>
        <v>#REF!</v>
      </c>
      <c r="I57" s="196"/>
      <c r="J57" s="196" t="e">
        <f t="shared" si="11"/>
        <v>#REF!</v>
      </c>
      <c r="K57" s="196"/>
      <c r="L57" s="196"/>
      <c r="M57" s="196"/>
      <c r="N57" s="184" t="e">
        <f>'9 месяцев'!N57+#REF!</f>
        <v>#REF!</v>
      </c>
      <c r="O57" s="196"/>
    </row>
    <row r="58" spans="1:15" ht="13.5" thickTop="1" thickBot="1">
      <c r="A58" s="862"/>
      <c r="B58" s="263" t="s">
        <v>98</v>
      </c>
      <c r="C58" s="263" t="s">
        <v>99</v>
      </c>
      <c r="D58" s="196">
        <f t="shared" si="10"/>
        <v>0</v>
      </c>
      <c r="E58" s="196"/>
      <c r="F58" s="196"/>
      <c r="G58" s="196"/>
      <c r="H58" s="235">
        <f>'1 квартал'!H58+'2 квартал'!H58+'3 квартал'!H58</f>
        <v>0</v>
      </c>
      <c r="I58" s="196"/>
      <c r="J58" s="196">
        <f t="shared" si="11"/>
        <v>0</v>
      </c>
      <c r="K58" s="196"/>
      <c r="L58" s="196"/>
      <c r="M58" s="196"/>
      <c r="N58" s="235"/>
      <c r="O58" s="196"/>
    </row>
    <row r="59" spans="1:15" ht="13.5" thickTop="1" thickBot="1">
      <c r="A59" s="862"/>
      <c r="B59" s="204" t="s">
        <v>171</v>
      </c>
      <c r="C59" s="205" t="s">
        <v>190</v>
      </c>
      <c r="D59" s="206" t="e">
        <f t="shared" si="10"/>
        <v>#REF!</v>
      </c>
      <c r="E59" s="184" t="e">
        <f>'9 месяцев'!E59+#REF!</f>
        <v>#REF!</v>
      </c>
      <c r="F59" s="184" t="e">
        <f>'9 месяцев'!F59+#REF!</f>
        <v>#REF!</v>
      </c>
      <c r="G59" s="214"/>
      <c r="H59" s="184" t="e">
        <f>'9 месяцев'!H59+#REF!</f>
        <v>#REF!</v>
      </c>
      <c r="I59" s="184" t="e">
        <f>'9 месяцев'!I59+#REF!</f>
        <v>#REF!</v>
      </c>
      <c r="J59" s="206" t="e">
        <f t="shared" si="11"/>
        <v>#REF!</v>
      </c>
      <c r="K59" s="184" t="e">
        <f>'9 месяцев'!K59+#REF!</f>
        <v>#REF!</v>
      </c>
      <c r="L59" s="184" t="e">
        <f>'9 месяцев'!L59+#REF!</f>
        <v>#REF!</v>
      </c>
      <c r="M59" s="214">
        <v>0</v>
      </c>
      <c r="N59" s="184" t="e">
        <f>'9 месяцев'!N59+#REF!</f>
        <v>#REF!</v>
      </c>
      <c r="O59" s="184" t="e">
        <f>'9 месяцев'!O59+#REF!</f>
        <v>#REF!</v>
      </c>
    </row>
    <row r="60" spans="1:15" ht="13.5" thickTop="1" thickBot="1">
      <c r="A60" s="862"/>
      <c r="B60" s="182" t="s">
        <v>172</v>
      </c>
      <c r="C60" s="182" t="s">
        <v>88</v>
      </c>
      <c r="D60" s="196">
        <f t="shared" si="10"/>
        <v>0</v>
      </c>
      <c r="E60" s="196"/>
      <c r="F60" s="196"/>
      <c r="G60" s="196"/>
      <c r="H60" s="196"/>
      <c r="I60" s="196"/>
      <c r="J60" s="196">
        <f t="shared" si="11"/>
        <v>0</v>
      </c>
      <c r="K60" s="196"/>
      <c r="L60" s="196"/>
      <c r="M60" s="196">
        <f>SUM(M61:M63)</f>
        <v>0</v>
      </c>
      <c r="N60" s="196">
        <f>SUM(N61:N63)</f>
        <v>0</v>
      </c>
      <c r="O60" s="196">
        <f>SUM(O61:O63)</f>
        <v>0</v>
      </c>
    </row>
    <row r="61" spans="1:15" ht="13.5" thickTop="1" thickBot="1">
      <c r="A61" s="862"/>
      <c r="B61" s="207"/>
      <c r="C61" s="208" t="s">
        <v>89</v>
      </c>
      <c r="D61" s="209">
        <f t="shared" si="10"/>
        <v>0</v>
      </c>
      <c r="E61" s="210"/>
      <c r="F61" s="210"/>
      <c r="G61" s="209"/>
      <c r="H61" s="209"/>
      <c r="I61" s="210"/>
      <c r="J61" s="209">
        <f t="shared" si="11"/>
        <v>0</v>
      </c>
      <c r="K61" s="210"/>
      <c r="L61" s="210"/>
      <c r="M61" s="209"/>
      <c r="N61" s="209"/>
      <c r="O61" s="210"/>
    </row>
    <row r="62" spans="1:15" ht="13.5" thickTop="1" thickBot="1">
      <c r="A62" s="862"/>
      <c r="B62" s="207"/>
      <c r="C62" s="208" t="s">
        <v>90</v>
      </c>
      <c r="D62" s="209">
        <f t="shared" si="10"/>
        <v>0</v>
      </c>
      <c r="E62" s="210"/>
      <c r="F62" s="210"/>
      <c r="G62" s="210"/>
      <c r="H62" s="209"/>
      <c r="I62" s="209"/>
      <c r="J62" s="209">
        <f t="shared" si="11"/>
        <v>0</v>
      </c>
      <c r="K62" s="210"/>
      <c r="L62" s="210"/>
      <c r="M62" s="210"/>
      <c r="N62" s="209"/>
      <c r="O62" s="209"/>
    </row>
    <row r="63" spans="1:15" ht="13.5" thickTop="1" thickBot="1">
      <c r="A63" s="862"/>
      <c r="B63" s="207"/>
      <c r="C63" s="208" t="s">
        <v>91</v>
      </c>
      <c r="D63" s="209">
        <f t="shared" si="10"/>
        <v>0</v>
      </c>
      <c r="E63" s="210"/>
      <c r="F63" s="210"/>
      <c r="G63" s="210"/>
      <c r="H63" s="210"/>
      <c r="I63" s="209"/>
      <c r="J63" s="209">
        <f t="shared" si="11"/>
        <v>0</v>
      </c>
      <c r="K63" s="210"/>
      <c r="L63" s="210"/>
      <c r="M63" s="210"/>
      <c r="N63" s="210"/>
      <c r="O63" s="209"/>
    </row>
    <row r="64" spans="1:15" ht="13.5" thickTop="1" thickBot="1">
      <c r="A64" s="862"/>
      <c r="B64" s="182" t="s">
        <v>173</v>
      </c>
      <c r="C64" s="182" t="s">
        <v>93</v>
      </c>
      <c r="D64" s="196" t="e">
        <f t="shared" si="10"/>
        <v>#REF!</v>
      </c>
      <c r="E64" s="184" t="e">
        <f>'9 месяцев'!E64+#REF!</f>
        <v>#REF!</v>
      </c>
      <c r="F64" s="184" t="e">
        <f>'9 месяцев'!F64+#REF!</f>
        <v>#REF!</v>
      </c>
      <c r="G64" s="211"/>
      <c r="H64" s="211"/>
      <c r="I64" s="196"/>
      <c r="J64" s="196" t="e">
        <f t="shared" si="11"/>
        <v>#REF!</v>
      </c>
      <c r="K64" s="184" t="e">
        <f>'9 месяцев'!K64+#REF!</f>
        <v>#REF!</v>
      </c>
      <c r="L64" s="184" t="e">
        <f>'9 месяцев'!L64+#REF!</f>
        <v>#REF!</v>
      </c>
      <c r="M64" s="211"/>
      <c r="N64" s="211"/>
      <c r="O64" s="196"/>
    </row>
    <row r="65" spans="1:15" ht="13.5" thickTop="1" thickBot="1">
      <c r="A65" s="862"/>
      <c r="B65" s="182" t="s">
        <v>174</v>
      </c>
      <c r="C65" s="182" t="s">
        <v>95</v>
      </c>
      <c r="D65" s="213" t="e">
        <f t="shared" si="10"/>
        <v>#REF!</v>
      </c>
      <c r="E65" s="184" t="e">
        <f>'9 месяцев'!E65+#REF!</f>
        <v>#REF!</v>
      </c>
      <c r="F65" s="209"/>
      <c r="G65" s="209"/>
      <c r="H65" s="209"/>
      <c r="I65" s="196"/>
      <c r="J65" s="213" t="e">
        <f t="shared" si="11"/>
        <v>#REF!</v>
      </c>
      <c r="K65" s="184" t="e">
        <f>'9 месяцев'!K65+#REF!</f>
        <v>#REF!</v>
      </c>
      <c r="L65" s="209"/>
      <c r="M65" s="209"/>
      <c r="N65" s="209"/>
      <c r="O65" s="196"/>
    </row>
    <row r="66" spans="1:15" ht="13.5" thickTop="1" thickBot="1">
      <c r="A66" s="862"/>
      <c r="B66" s="207"/>
      <c r="C66" s="208" t="s">
        <v>89</v>
      </c>
      <c r="D66" s="209">
        <f t="shared" si="10"/>
        <v>0</v>
      </c>
      <c r="E66" s="210"/>
      <c r="F66" s="210"/>
      <c r="G66" s="209"/>
      <c r="H66" s="209"/>
      <c r="I66" s="210"/>
      <c r="J66" s="209">
        <f t="shared" si="11"/>
        <v>0</v>
      </c>
      <c r="K66" s="210"/>
      <c r="L66" s="210"/>
      <c r="M66" s="209"/>
      <c r="N66" s="209"/>
      <c r="O66" s="210"/>
    </row>
    <row r="67" spans="1:15" ht="13.5" thickTop="1" thickBot="1">
      <c r="A67" s="862"/>
      <c r="B67" s="207"/>
      <c r="C67" s="208" t="s">
        <v>90</v>
      </c>
      <c r="D67" s="209">
        <f t="shared" si="10"/>
        <v>0</v>
      </c>
      <c r="E67" s="210"/>
      <c r="F67" s="210"/>
      <c r="G67" s="210"/>
      <c r="H67" s="209"/>
      <c r="I67" s="209"/>
      <c r="J67" s="209">
        <f t="shared" si="11"/>
        <v>0</v>
      </c>
      <c r="K67" s="210"/>
      <c r="L67" s="210"/>
      <c r="M67" s="210"/>
      <c r="N67" s="209"/>
      <c r="O67" s="209"/>
    </row>
    <row r="68" spans="1:15" ht="13.5" thickTop="1" thickBot="1">
      <c r="A68" s="862"/>
      <c r="B68" s="207"/>
      <c r="C68" s="208" t="s">
        <v>91</v>
      </c>
      <c r="D68" s="209">
        <f t="shared" si="10"/>
        <v>0</v>
      </c>
      <c r="E68" s="210"/>
      <c r="F68" s="210"/>
      <c r="G68" s="210"/>
      <c r="H68" s="210"/>
      <c r="I68" s="209"/>
      <c r="J68" s="209">
        <f t="shared" si="11"/>
        <v>0</v>
      </c>
      <c r="K68" s="210"/>
      <c r="L68" s="210"/>
      <c r="M68" s="210"/>
      <c r="N68" s="210"/>
      <c r="O68" s="209"/>
    </row>
    <row r="69" spans="1:15" ht="13.5" thickTop="1" thickBot="1">
      <c r="A69" s="862"/>
      <c r="B69" s="182" t="s">
        <v>176</v>
      </c>
      <c r="C69" s="182" t="s">
        <v>97</v>
      </c>
      <c r="D69" s="196">
        <f t="shared" si="10"/>
        <v>0</v>
      </c>
      <c r="E69" s="196"/>
      <c r="F69" s="196"/>
      <c r="G69" s="196"/>
      <c r="H69" s="185"/>
      <c r="I69" s="196"/>
      <c r="J69" s="196">
        <f t="shared" si="11"/>
        <v>0</v>
      </c>
      <c r="K69" s="196"/>
      <c r="L69" s="196"/>
      <c r="M69" s="196"/>
      <c r="N69" s="185"/>
      <c r="O69" s="196"/>
    </row>
    <row r="70" spans="1:15" ht="13.5" thickTop="1" thickBot="1">
      <c r="A70" s="862"/>
      <c r="B70" s="182" t="s">
        <v>175</v>
      </c>
      <c r="C70" s="182" t="s">
        <v>99</v>
      </c>
      <c r="D70" s="196">
        <f t="shared" si="10"/>
        <v>0</v>
      </c>
      <c r="E70" s="196"/>
      <c r="F70" s="196"/>
      <c r="G70" s="196"/>
      <c r="H70" s="185"/>
      <c r="I70" s="196"/>
      <c r="J70" s="196">
        <f t="shared" si="11"/>
        <v>0</v>
      </c>
      <c r="K70" s="196"/>
      <c r="L70" s="196"/>
      <c r="M70" s="196"/>
      <c r="N70" s="185"/>
      <c r="O70" s="196"/>
    </row>
    <row r="71" spans="1:15" ht="13.5" thickTop="1" thickBot="1">
      <c r="A71" s="862"/>
      <c r="B71" s="204" t="s">
        <v>177</v>
      </c>
      <c r="C71" s="205" t="s">
        <v>203</v>
      </c>
      <c r="D71" s="206" t="e">
        <f t="shared" si="10"/>
        <v>#REF!</v>
      </c>
      <c r="E71" s="284"/>
      <c r="F71" s="284"/>
      <c r="G71" s="184" t="e">
        <f>'9 месяцев'!G71+#REF!</f>
        <v>#REF!</v>
      </c>
      <c r="H71" s="184" t="e">
        <f>'9 месяцев'!H71+#REF!</f>
        <v>#REF!</v>
      </c>
      <c r="I71" s="214"/>
      <c r="J71" s="206" t="e">
        <f t="shared" si="11"/>
        <v>#REF!</v>
      </c>
      <c r="K71" s="339"/>
      <c r="L71" s="339"/>
      <c r="M71" s="184" t="e">
        <f>'9 месяцев'!M71+#REF!</f>
        <v>#REF!</v>
      </c>
      <c r="N71" s="184" t="e">
        <f>'9 месяцев'!N71+#REF!</f>
        <v>#REF!</v>
      </c>
      <c r="O71" s="184" t="e">
        <f>'9 месяцев'!O71+#REF!</f>
        <v>#REF!</v>
      </c>
    </row>
    <row r="72" spans="1:15" ht="13.5" thickTop="1" thickBot="1">
      <c r="A72" s="862"/>
      <c r="B72" s="182" t="s">
        <v>178</v>
      </c>
      <c r="C72" s="182" t="s">
        <v>88</v>
      </c>
      <c r="D72" s="196">
        <f t="shared" si="10"/>
        <v>0</v>
      </c>
      <c r="E72" s="196"/>
      <c r="F72" s="196"/>
      <c r="G72" s="196"/>
      <c r="H72" s="196"/>
      <c r="I72" s="196"/>
      <c r="J72" s="196">
        <f t="shared" si="11"/>
        <v>0</v>
      </c>
      <c r="K72" s="196"/>
      <c r="L72" s="196"/>
      <c r="M72" s="196"/>
      <c r="N72" s="196"/>
      <c r="O72" s="196"/>
    </row>
    <row r="73" spans="1:15" ht="13.5" thickTop="1" thickBot="1">
      <c r="A73" s="862"/>
      <c r="B73" s="207"/>
      <c r="C73" s="208" t="s">
        <v>89</v>
      </c>
      <c r="D73" s="209" t="e">
        <f t="shared" si="10"/>
        <v>#REF!</v>
      </c>
      <c r="E73" s="210"/>
      <c r="F73" s="210"/>
      <c r="G73" s="184" t="e">
        <f>'9 месяцев'!G73+#REF!</f>
        <v>#REF!</v>
      </c>
      <c r="H73" s="184" t="e">
        <f>'9 месяцев'!H73+#REF!</f>
        <v>#REF!</v>
      </c>
      <c r="I73" s="210"/>
      <c r="J73" s="734" t="e">
        <f t="shared" si="11"/>
        <v>#REF!</v>
      </c>
      <c r="K73" s="739"/>
      <c r="L73" s="739"/>
      <c r="M73" s="740" t="e">
        <f>'9 месяцев'!M73+#REF!</f>
        <v>#REF!</v>
      </c>
      <c r="N73" s="740" t="e">
        <f>'9 месяцев'!N73+#REF!</f>
        <v>#REF!</v>
      </c>
      <c r="O73" s="210"/>
    </row>
    <row r="74" spans="1:15" ht="13.5" thickTop="1" thickBot="1">
      <c r="A74" s="862"/>
      <c r="B74" s="207"/>
      <c r="C74" s="208" t="s">
        <v>90</v>
      </c>
      <c r="D74" s="209">
        <f t="shared" si="10"/>
        <v>0</v>
      </c>
      <c r="E74" s="210"/>
      <c r="F74" s="210"/>
      <c r="G74" s="210"/>
      <c r="H74" s="209"/>
      <c r="I74" s="209"/>
      <c r="J74" s="209">
        <f t="shared" si="11"/>
        <v>0</v>
      </c>
      <c r="K74" s="210"/>
      <c r="L74" s="210"/>
      <c r="M74" s="210"/>
      <c r="N74" s="209"/>
      <c r="O74" s="209"/>
    </row>
    <row r="75" spans="1:15" ht="13.5" thickTop="1" thickBot="1">
      <c r="A75" s="862"/>
      <c r="B75" s="207"/>
      <c r="C75" s="208" t="s">
        <v>91</v>
      </c>
      <c r="D75" s="209">
        <f t="shared" si="10"/>
        <v>0</v>
      </c>
      <c r="E75" s="210"/>
      <c r="F75" s="210"/>
      <c r="G75" s="210"/>
      <c r="H75" s="210"/>
      <c r="I75" s="209"/>
      <c r="J75" s="209">
        <f t="shared" si="11"/>
        <v>0</v>
      </c>
      <c r="K75" s="210"/>
      <c r="L75" s="210"/>
      <c r="M75" s="210"/>
      <c r="N75" s="210"/>
      <c r="O75" s="209"/>
    </row>
    <row r="76" spans="1:15" ht="13.5" thickTop="1" thickBot="1">
      <c r="A76" s="862"/>
      <c r="B76" s="182" t="s">
        <v>179</v>
      </c>
      <c r="C76" s="182" t="s">
        <v>93</v>
      </c>
      <c r="D76" s="196">
        <f t="shared" si="10"/>
        <v>0</v>
      </c>
      <c r="E76" s="196"/>
      <c r="F76" s="196"/>
      <c r="G76" s="211"/>
      <c r="H76" s="211"/>
      <c r="I76" s="196"/>
      <c r="J76" s="196">
        <f t="shared" si="11"/>
        <v>0</v>
      </c>
      <c r="K76" s="196"/>
      <c r="L76" s="196"/>
      <c r="M76" s="211"/>
      <c r="N76" s="211"/>
      <c r="O76" s="196"/>
    </row>
    <row r="77" spans="1:15" ht="13.5" thickTop="1" thickBot="1">
      <c r="A77" s="862"/>
      <c r="B77" s="182" t="s">
        <v>180</v>
      </c>
      <c r="C77" s="182" t="s">
        <v>95</v>
      </c>
      <c r="D77" s="213">
        <f t="shared" si="10"/>
        <v>0</v>
      </c>
      <c r="E77" s="215"/>
      <c r="F77" s="209"/>
      <c r="G77" s="184"/>
      <c r="H77" s="184"/>
      <c r="I77" s="196"/>
      <c r="J77" s="213">
        <f t="shared" si="11"/>
        <v>0</v>
      </c>
      <c r="K77" s="319"/>
      <c r="L77" s="320"/>
      <c r="M77" s="184"/>
      <c r="N77" s="184"/>
      <c r="O77" s="196"/>
    </row>
    <row r="78" spans="1:15" ht="13.5" thickTop="1" thickBot="1">
      <c r="A78" s="862"/>
      <c r="B78" s="207"/>
      <c r="C78" s="208" t="s">
        <v>89</v>
      </c>
      <c r="D78" s="209" t="e">
        <f t="shared" si="10"/>
        <v>#REF!</v>
      </c>
      <c r="E78" s="210"/>
      <c r="F78" s="210"/>
      <c r="G78" s="184" t="e">
        <f>'9 месяцев'!G78+#REF!</f>
        <v>#REF!</v>
      </c>
      <c r="H78" s="184" t="e">
        <f>'9 месяцев'!H78+#REF!</f>
        <v>#REF!</v>
      </c>
      <c r="I78" s="210"/>
      <c r="J78" s="209" t="e">
        <f t="shared" si="11"/>
        <v>#REF!</v>
      </c>
      <c r="K78" s="210"/>
      <c r="L78" s="210"/>
      <c r="M78" s="184" t="e">
        <f>'9 месяцев'!M78+#REF!</f>
        <v>#REF!</v>
      </c>
      <c r="N78" s="184" t="e">
        <f>'9 месяцев'!N78+#REF!</f>
        <v>#REF!</v>
      </c>
      <c r="O78" s="210"/>
    </row>
    <row r="79" spans="1:15" ht="13.5" thickTop="1" thickBot="1">
      <c r="A79" s="862"/>
      <c r="B79" s="207"/>
      <c r="C79" s="208" t="s">
        <v>90</v>
      </c>
      <c r="D79" s="209">
        <f t="shared" si="10"/>
        <v>0</v>
      </c>
      <c r="E79" s="210"/>
      <c r="F79" s="210"/>
      <c r="G79" s="210"/>
      <c r="H79" s="209"/>
      <c r="I79" s="209"/>
      <c r="J79" s="209">
        <f t="shared" si="11"/>
        <v>0</v>
      </c>
      <c r="K79" s="210"/>
      <c r="L79" s="210"/>
      <c r="M79" s="210"/>
      <c r="N79" s="209"/>
      <c r="O79" s="209"/>
    </row>
    <row r="80" spans="1:15" ht="13.5" thickTop="1" thickBot="1">
      <c r="A80" s="862"/>
      <c r="B80" s="207"/>
      <c r="C80" s="208" t="s">
        <v>91</v>
      </c>
      <c r="D80" s="209">
        <f t="shared" si="10"/>
        <v>0</v>
      </c>
      <c r="E80" s="210"/>
      <c r="F80" s="210"/>
      <c r="G80" s="210"/>
      <c r="H80" s="210"/>
      <c r="I80" s="209"/>
      <c r="J80" s="209">
        <f t="shared" si="11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196">
        <f t="shared" si="10"/>
        <v>0</v>
      </c>
      <c r="E81" s="196"/>
      <c r="F81" s="196"/>
      <c r="G81" s="196"/>
      <c r="H81" s="185"/>
      <c r="I81" s="196"/>
      <c r="J81" s="196">
        <f t="shared" si="11"/>
        <v>0</v>
      </c>
      <c r="K81" s="196"/>
      <c r="L81" s="196"/>
      <c r="M81" s="196"/>
      <c r="N81" s="236"/>
      <c r="O81" s="196"/>
    </row>
    <row r="82" spans="1:15" ht="13.5" thickTop="1" thickBot="1">
      <c r="A82" s="862"/>
      <c r="B82" s="182" t="s">
        <v>182</v>
      </c>
      <c r="C82" s="182" t="s">
        <v>99</v>
      </c>
      <c r="D82" s="196">
        <f t="shared" si="10"/>
        <v>0</v>
      </c>
      <c r="E82" s="196"/>
      <c r="F82" s="196"/>
      <c r="G82" s="196"/>
      <c r="H82" s="185"/>
      <c r="I82" s="196"/>
      <c r="J82" s="196">
        <f t="shared" si="11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196"/>
      <c r="E83" s="196"/>
      <c r="F83" s="184" t="e">
        <f>'9 месяцев'!F83+#REF!</f>
        <v>#REF!</v>
      </c>
      <c r="G83" s="196"/>
      <c r="H83" s="185"/>
      <c r="I83" s="196"/>
      <c r="J83" s="196"/>
      <c r="K83" s="196"/>
      <c r="L83" s="184" t="e">
        <f>'9 месяцев'!L83+#REF!</f>
        <v>#REF!</v>
      </c>
      <c r="M83" s="196"/>
      <c r="N83" s="185"/>
      <c r="O83" s="196"/>
    </row>
    <row r="84" spans="1:15" ht="13.5" thickTop="1" thickBot="1">
      <c r="A84" s="862"/>
      <c r="B84" s="182" t="s">
        <v>184</v>
      </c>
      <c r="C84" s="182" t="s">
        <v>88</v>
      </c>
      <c r="D84" s="196">
        <f t="shared" si="10"/>
        <v>0</v>
      </c>
      <c r="E84" s="196"/>
      <c r="F84" s="196"/>
      <c r="G84" s="196"/>
      <c r="H84" s="196"/>
      <c r="I84" s="196"/>
      <c r="J84" s="196">
        <f t="shared" si="11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209">
        <f t="shared" si="10"/>
        <v>0</v>
      </c>
      <c r="E85" s="210"/>
      <c r="F85" s="210"/>
      <c r="G85" s="209"/>
      <c r="H85" s="209"/>
      <c r="I85" s="210"/>
      <c r="J85" s="209">
        <f t="shared" si="11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209">
        <f t="shared" si="10"/>
        <v>0</v>
      </c>
      <c r="E86" s="210"/>
      <c r="F86" s="210"/>
      <c r="G86" s="210"/>
      <c r="H86" s="209"/>
      <c r="I86" s="209"/>
      <c r="J86" s="209">
        <f t="shared" si="11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209">
        <f t="shared" si="10"/>
        <v>0</v>
      </c>
      <c r="E87" s="210"/>
      <c r="F87" s="210"/>
      <c r="G87" s="210"/>
      <c r="H87" s="210"/>
      <c r="I87" s="209"/>
      <c r="J87" s="209">
        <f t="shared" si="11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196">
        <f t="shared" si="10"/>
        <v>0</v>
      </c>
      <c r="E88" s="196"/>
      <c r="F88" s="196"/>
      <c r="G88" s="211"/>
      <c r="H88" s="211"/>
      <c r="I88" s="196"/>
      <c r="J88" s="196">
        <f t="shared" si="11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213" t="e">
        <f t="shared" si="10"/>
        <v>#REF!</v>
      </c>
      <c r="E89" s="215"/>
      <c r="F89" s="184" t="e">
        <f>'9 месяцев'!F89+#REF!</f>
        <v>#REF!</v>
      </c>
      <c r="G89" s="209"/>
      <c r="H89" s="209"/>
      <c r="I89" s="196"/>
      <c r="J89" s="213" t="e">
        <f t="shared" si="11"/>
        <v>#REF!</v>
      </c>
      <c r="K89" s="319"/>
      <c r="L89" s="184" t="e">
        <f>'9 месяцев'!L89+#REF!</f>
        <v>#REF!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209">
        <f t="shared" si="10"/>
        <v>0</v>
      </c>
      <c r="E90" s="210"/>
      <c r="F90" s="210"/>
      <c r="G90" s="209"/>
      <c r="H90" s="209"/>
      <c r="I90" s="210"/>
      <c r="J90" s="209">
        <f t="shared" si="11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209">
        <f t="shared" si="10"/>
        <v>0</v>
      </c>
      <c r="E91" s="210"/>
      <c r="F91" s="210"/>
      <c r="G91" s="210"/>
      <c r="H91" s="209"/>
      <c r="I91" s="209"/>
      <c r="J91" s="209">
        <f t="shared" si="11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209">
        <f t="shared" si="10"/>
        <v>0</v>
      </c>
      <c r="E92" s="210"/>
      <c r="F92" s="210"/>
      <c r="G92" s="210"/>
      <c r="H92" s="210"/>
      <c r="I92" s="209"/>
      <c r="J92" s="209">
        <f t="shared" si="11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196">
        <f t="shared" si="10"/>
        <v>0</v>
      </c>
      <c r="E93" s="196"/>
      <c r="F93" s="196"/>
      <c r="G93" s="196"/>
      <c r="H93" s="185"/>
      <c r="I93" s="196"/>
      <c r="J93" s="196">
        <f t="shared" si="11"/>
        <v>0</v>
      </c>
      <c r="K93" s="196"/>
      <c r="L93" s="196"/>
      <c r="M93" s="196"/>
      <c r="N93" s="236"/>
      <c r="O93" s="196"/>
    </row>
    <row r="94" spans="1:15" ht="13.5" thickTop="1" thickBot="1">
      <c r="A94" s="862"/>
      <c r="B94" s="182" t="s">
        <v>188</v>
      </c>
      <c r="C94" s="182" t="s">
        <v>99</v>
      </c>
      <c r="D94" s="196">
        <f t="shared" si="10"/>
        <v>0</v>
      </c>
      <c r="E94" s="196"/>
      <c r="F94" s="196"/>
      <c r="G94" s="196"/>
      <c r="H94" s="185"/>
      <c r="I94" s="196"/>
      <c r="J94" s="196">
        <f t="shared" si="11"/>
        <v>0</v>
      </c>
      <c r="K94" s="196"/>
      <c r="L94" s="196"/>
      <c r="M94" s="196"/>
      <c r="N94" s="185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 t="e">
        <f t="shared" ref="D95:D106" si="12">SUM(E95:I95)</f>
        <v>#REF!</v>
      </c>
      <c r="E95" s="284"/>
      <c r="F95" s="325"/>
      <c r="G95" s="284"/>
      <c r="H95" s="338" t="e">
        <f>'9 месяцев'!H95+#REF!</f>
        <v>#REF!</v>
      </c>
      <c r="I95" s="284"/>
      <c r="J95" s="206" t="e">
        <f t="shared" ref="J95:J106" si="13">SUM(K95:O95)</f>
        <v>#REF!</v>
      </c>
      <c r="K95" s="284"/>
      <c r="L95" s="325"/>
      <c r="M95" s="214"/>
      <c r="N95" s="338" t="e">
        <f>'9 месяцев'!N95+#REF!</f>
        <v>#REF!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2"/>
        <v>0</v>
      </c>
      <c r="E96" s="324"/>
      <c r="F96" s="324"/>
      <c r="G96" s="324"/>
      <c r="H96" s="693"/>
      <c r="I96" s="324"/>
      <c r="J96" s="196">
        <f t="shared" si="13"/>
        <v>0</v>
      </c>
      <c r="K96" s="196"/>
      <c r="L96" s="196"/>
      <c r="M96" s="196"/>
      <c r="N96" s="693"/>
      <c r="O96" s="196"/>
    </row>
    <row r="97" spans="1:15" ht="13.5" thickTop="1" thickBot="1">
      <c r="A97" s="862"/>
      <c r="B97" s="207"/>
      <c r="C97" s="208" t="s">
        <v>89</v>
      </c>
      <c r="D97" s="326" t="e">
        <f t="shared" si="12"/>
        <v>#REF!</v>
      </c>
      <c r="E97" s="327"/>
      <c r="F97" s="327"/>
      <c r="G97" s="326"/>
      <c r="H97" s="338" t="e">
        <f>'9 месяцев'!H97+#REF!</f>
        <v>#REF!</v>
      </c>
      <c r="I97" s="327"/>
      <c r="J97" s="209" t="e">
        <f t="shared" si="13"/>
        <v>#REF!</v>
      </c>
      <c r="K97" s="210"/>
      <c r="L97" s="210"/>
      <c r="M97" s="209"/>
      <c r="N97" s="338" t="e">
        <f>'9 месяцев'!N97+#REF!</f>
        <v>#REF!</v>
      </c>
      <c r="O97" s="210"/>
    </row>
    <row r="98" spans="1:15" ht="13.5" thickTop="1" thickBot="1">
      <c r="A98" s="862"/>
      <c r="B98" s="207"/>
      <c r="C98" s="208" t="s">
        <v>90</v>
      </c>
      <c r="D98" s="326" t="e">
        <f t="shared" si="12"/>
        <v>#REF!</v>
      </c>
      <c r="E98" s="327"/>
      <c r="F98" s="327"/>
      <c r="G98" s="327"/>
      <c r="H98" s="338" t="e">
        <f>'9 месяцев'!H98+#REF!</f>
        <v>#REF!</v>
      </c>
      <c r="I98" s="326"/>
      <c r="J98" s="209" t="e">
        <f t="shared" si="13"/>
        <v>#REF!</v>
      </c>
      <c r="K98" s="210"/>
      <c r="L98" s="210"/>
      <c r="M98" s="210"/>
      <c r="N98" s="338" t="e">
        <f>'9 месяцев'!N98+#REF!</f>
        <v>#REF!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2"/>
        <v>0</v>
      </c>
      <c r="E99" s="327"/>
      <c r="F99" s="327"/>
      <c r="G99" s="327"/>
      <c r="H99" s="327"/>
      <c r="I99" s="326"/>
      <c r="J99" s="209">
        <f t="shared" si="13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2"/>
        <v>0</v>
      </c>
      <c r="E100" s="324"/>
      <c r="F100" s="324"/>
      <c r="G100" s="328"/>
      <c r="H100" s="328"/>
      <c r="I100" s="324"/>
      <c r="J100" s="196">
        <f t="shared" si="13"/>
        <v>0</v>
      </c>
      <c r="K100" s="196"/>
      <c r="L100" s="196"/>
      <c r="M100" s="211"/>
      <c r="N100" s="211"/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2"/>
        <v>0</v>
      </c>
      <c r="E101" s="380"/>
      <c r="F101" s="331"/>
      <c r="G101" s="326"/>
      <c r="H101" s="326"/>
      <c r="I101" s="324"/>
      <c r="J101" s="213">
        <f t="shared" si="13"/>
        <v>0</v>
      </c>
      <c r="K101" s="383"/>
      <c r="L101" s="320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2"/>
        <v>0</v>
      </c>
      <c r="E102" s="327"/>
      <c r="F102" s="327"/>
      <c r="G102" s="326"/>
      <c r="H102" s="326"/>
      <c r="I102" s="327"/>
      <c r="J102" s="209">
        <f t="shared" si="13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2"/>
        <v>0</v>
      </c>
      <c r="E103" s="327"/>
      <c r="F103" s="327"/>
      <c r="G103" s="327"/>
      <c r="H103" s="326"/>
      <c r="I103" s="326"/>
      <c r="J103" s="209">
        <f t="shared" si="13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2"/>
        <v>0</v>
      </c>
      <c r="E104" s="327"/>
      <c r="F104" s="327"/>
      <c r="G104" s="327"/>
      <c r="H104" s="327"/>
      <c r="I104" s="326"/>
      <c r="J104" s="209">
        <f t="shared" si="13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2"/>
        <v>0</v>
      </c>
      <c r="E105" s="324"/>
      <c r="F105" s="324"/>
      <c r="G105" s="324"/>
      <c r="H105" s="323"/>
      <c r="I105" s="324"/>
      <c r="J105" s="196">
        <f t="shared" si="13"/>
        <v>0</v>
      </c>
      <c r="K105" s="196"/>
      <c r="L105" s="196"/>
      <c r="M105" s="196"/>
      <c r="N105" s="185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2"/>
        <v>0</v>
      </c>
      <c r="E106" s="324"/>
      <c r="F106" s="324"/>
      <c r="G106" s="324"/>
      <c r="H106" s="323"/>
      <c r="I106" s="324"/>
      <c r="J106" s="196">
        <f t="shared" si="13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 t="e">
        <f t="shared" ref="D107:D118" si="14">SUM(E107:I107)</f>
        <v>#REF!</v>
      </c>
      <c r="E107" s="284"/>
      <c r="F107" s="325"/>
      <c r="G107" s="284"/>
      <c r="H107" s="184" t="e">
        <f>'9 месяцев'!H107+#REF!</f>
        <v>#REF!</v>
      </c>
      <c r="I107" s="284"/>
      <c r="J107" s="206" t="e">
        <f t="shared" ref="J107:J118" si="15">SUM(K107:O107)</f>
        <v>#REF!</v>
      </c>
      <c r="K107" s="284"/>
      <c r="L107" s="325"/>
      <c r="M107" s="214"/>
      <c r="N107" s="184" t="e">
        <f>'9 месяцев'!N107+#REF!</f>
        <v>#REF!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4"/>
        <v>0</v>
      </c>
      <c r="E108" s="324"/>
      <c r="F108" s="324"/>
      <c r="G108" s="324"/>
      <c r="H108" s="324"/>
      <c r="I108" s="324"/>
      <c r="J108" s="196">
        <f t="shared" si="15"/>
        <v>0</v>
      </c>
      <c r="K108" s="196"/>
      <c r="L108" s="196"/>
      <c r="M108" s="196"/>
      <c r="N108" s="196"/>
      <c r="O108" s="196"/>
    </row>
    <row r="109" spans="1:15" ht="13.5" thickTop="1" thickBot="1">
      <c r="A109" s="862"/>
      <c r="B109" s="207"/>
      <c r="C109" s="208" t="s">
        <v>89</v>
      </c>
      <c r="D109" s="326" t="e">
        <f t="shared" si="14"/>
        <v>#REF!</v>
      </c>
      <c r="E109" s="327"/>
      <c r="F109" s="327"/>
      <c r="G109" s="326"/>
      <c r="H109" s="184" t="e">
        <f>'9 месяцев'!H109+#REF!</f>
        <v>#REF!</v>
      </c>
      <c r="I109" s="327"/>
      <c r="J109" s="209" t="e">
        <f t="shared" si="15"/>
        <v>#REF!</v>
      </c>
      <c r="K109" s="210"/>
      <c r="L109" s="210"/>
      <c r="M109" s="209"/>
      <c r="N109" s="184" t="e">
        <f>'9 месяцев'!N109+#REF!</f>
        <v>#REF!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4"/>
        <v>0</v>
      </c>
      <c r="E110" s="327"/>
      <c r="F110" s="327"/>
      <c r="G110" s="327"/>
      <c r="H110" s="339"/>
      <c r="I110" s="326"/>
      <c r="J110" s="209">
        <f t="shared" si="15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4"/>
        <v>0</v>
      </c>
      <c r="E111" s="327"/>
      <c r="F111" s="327"/>
      <c r="G111" s="327"/>
      <c r="H111" s="327"/>
      <c r="I111" s="326"/>
      <c r="J111" s="209">
        <f t="shared" si="15"/>
        <v>0</v>
      </c>
      <c r="K111" s="210"/>
      <c r="L111" s="210"/>
      <c r="M111" s="210"/>
      <c r="N111" s="210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4"/>
        <v>0</v>
      </c>
      <c r="E112" s="324"/>
      <c r="F112" s="324"/>
      <c r="G112" s="328"/>
      <c r="H112" s="328"/>
      <c r="I112" s="324"/>
      <c r="J112" s="196">
        <f t="shared" si="15"/>
        <v>0</v>
      </c>
      <c r="K112" s="196"/>
      <c r="L112" s="196"/>
      <c r="M112" s="211"/>
      <c r="N112" s="211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4"/>
        <v>0</v>
      </c>
      <c r="E113" s="380"/>
      <c r="F113" s="331"/>
      <c r="G113" s="326"/>
      <c r="H113" s="326"/>
      <c r="I113" s="324"/>
      <c r="J113" s="213">
        <f t="shared" si="15"/>
        <v>0</v>
      </c>
      <c r="K113" s="383"/>
      <c r="L113" s="320"/>
      <c r="M113" s="209"/>
      <c r="N113" s="209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4"/>
        <v>0</v>
      </c>
      <c r="E114" s="327"/>
      <c r="F114" s="327"/>
      <c r="G114" s="326"/>
      <c r="H114" s="326"/>
      <c r="I114" s="327"/>
      <c r="J114" s="209">
        <f t="shared" si="15"/>
        <v>0</v>
      </c>
      <c r="K114" s="210"/>
      <c r="L114" s="210"/>
      <c r="M114" s="209"/>
      <c r="N114" s="209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4"/>
        <v>0</v>
      </c>
      <c r="E115" s="327"/>
      <c r="F115" s="327"/>
      <c r="G115" s="327"/>
      <c r="H115" s="326"/>
      <c r="I115" s="326"/>
      <c r="J115" s="209">
        <f t="shared" si="15"/>
        <v>0</v>
      </c>
      <c r="K115" s="210"/>
      <c r="L115" s="210"/>
      <c r="M115" s="210"/>
      <c r="N115" s="209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4"/>
        <v>0</v>
      </c>
      <c r="E116" s="327"/>
      <c r="F116" s="327"/>
      <c r="G116" s="327"/>
      <c r="H116" s="327"/>
      <c r="I116" s="326"/>
      <c r="J116" s="209">
        <f t="shared" si="15"/>
        <v>0</v>
      </c>
      <c r="K116" s="210"/>
      <c r="L116" s="210"/>
      <c r="M116" s="210"/>
      <c r="N116" s="210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4"/>
        <v>0</v>
      </c>
      <c r="E117" s="324"/>
      <c r="F117" s="324"/>
      <c r="G117" s="324"/>
      <c r="H117" s="324"/>
      <c r="I117" s="324"/>
      <c r="J117" s="196">
        <f t="shared" si="15"/>
        <v>0</v>
      </c>
      <c r="K117" s="196"/>
      <c r="L117" s="196"/>
      <c r="M117" s="196"/>
      <c r="N117" s="185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4"/>
        <v>0</v>
      </c>
      <c r="E118" s="324"/>
      <c r="F118" s="324"/>
      <c r="G118" s="324"/>
      <c r="H118" s="323"/>
      <c r="I118" s="324"/>
      <c r="J118" s="196">
        <f t="shared" si="15"/>
        <v>0</v>
      </c>
      <c r="K118" s="196"/>
      <c r="L118" s="196"/>
      <c r="M118" s="196"/>
      <c r="N118" s="196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 t="e">
        <f t="shared" ref="D119:D130" si="16">SUM(E119:I119)</f>
        <v>#REF!</v>
      </c>
      <c r="E119" s="284"/>
      <c r="F119" s="325"/>
      <c r="G119" s="284"/>
      <c r="H119" s="184" t="e">
        <f>'9 месяцев'!H119+#REF!</f>
        <v>#REF!</v>
      </c>
      <c r="I119" s="284"/>
      <c r="J119" s="206" t="e">
        <f t="shared" ref="J119:J130" si="17">SUM(K119:O119)</f>
        <v>#REF!</v>
      </c>
      <c r="K119" s="284"/>
      <c r="L119" s="325"/>
      <c r="M119" s="214"/>
      <c r="N119" s="184" t="e">
        <f>'9 месяцев'!N119+#REF!</f>
        <v>#REF!</v>
      </c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16"/>
        <v>0</v>
      </c>
      <c r="E120" s="324"/>
      <c r="F120" s="324"/>
      <c r="G120" s="324"/>
      <c r="H120" s="196"/>
      <c r="I120" s="324"/>
      <c r="J120" s="196">
        <f t="shared" si="17"/>
        <v>0</v>
      </c>
      <c r="K120" s="196"/>
      <c r="L120" s="196"/>
      <c r="M120" s="196"/>
      <c r="N120" s="196"/>
      <c r="O120" s="196"/>
    </row>
    <row r="121" spans="1:15" ht="13.5" thickTop="1" thickBot="1">
      <c r="A121" s="862"/>
      <c r="B121" s="207"/>
      <c r="C121" s="208" t="s">
        <v>89</v>
      </c>
      <c r="D121" s="326" t="e">
        <f t="shared" si="16"/>
        <v>#REF!</v>
      </c>
      <c r="E121" s="327"/>
      <c r="F121" s="327"/>
      <c r="G121" s="326"/>
      <c r="H121" s="184" t="e">
        <f>'9 месяцев'!H121+#REF!</f>
        <v>#REF!</v>
      </c>
      <c r="I121" s="327"/>
      <c r="J121" s="209" t="e">
        <f t="shared" si="17"/>
        <v>#REF!</v>
      </c>
      <c r="K121" s="210"/>
      <c r="L121" s="210"/>
      <c r="M121" s="209"/>
      <c r="N121" s="184" t="e">
        <f>'9 месяцев'!N121+#REF!</f>
        <v>#REF!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16"/>
        <v>0</v>
      </c>
      <c r="E122" s="327"/>
      <c r="F122" s="327"/>
      <c r="G122" s="327"/>
      <c r="H122" s="339"/>
      <c r="I122" s="326"/>
      <c r="J122" s="209">
        <f t="shared" si="17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16"/>
        <v>0</v>
      </c>
      <c r="E123" s="327"/>
      <c r="F123" s="327"/>
      <c r="G123" s="327"/>
      <c r="H123" s="327"/>
      <c r="I123" s="326"/>
      <c r="J123" s="209">
        <f t="shared" si="17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16"/>
        <v>0</v>
      </c>
      <c r="E124" s="324"/>
      <c r="F124" s="324"/>
      <c r="G124" s="328"/>
      <c r="H124" s="328"/>
      <c r="I124" s="324"/>
      <c r="J124" s="196">
        <f t="shared" si="17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16"/>
        <v>0</v>
      </c>
      <c r="E125" s="380"/>
      <c r="F125" s="331"/>
      <c r="G125" s="326"/>
      <c r="H125" s="326"/>
      <c r="I125" s="324"/>
      <c r="J125" s="213">
        <f t="shared" si="17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16"/>
        <v>0</v>
      </c>
      <c r="E126" s="327"/>
      <c r="F126" s="327"/>
      <c r="G126" s="326"/>
      <c r="H126" s="326"/>
      <c r="I126" s="327"/>
      <c r="J126" s="209">
        <f t="shared" si="17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16"/>
        <v>0</v>
      </c>
      <c r="E127" s="327"/>
      <c r="F127" s="327"/>
      <c r="G127" s="327"/>
      <c r="H127" s="326"/>
      <c r="I127" s="326"/>
      <c r="J127" s="209">
        <f t="shared" si="17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16"/>
        <v>0</v>
      </c>
      <c r="E128" s="327"/>
      <c r="F128" s="327"/>
      <c r="G128" s="327"/>
      <c r="H128" s="327"/>
      <c r="I128" s="326"/>
      <c r="J128" s="209">
        <f t="shared" si="17"/>
        <v>0</v>
      </c>
      <c r="K128" s="210"/>
      <c r="L128" s="210"/>
      <c r="M128" s="210"/>
      <c r="N128" s="210"/>
      <c r="O128" s="209"/>
    </row>
    <row r="129" spans="1:16" ht="13.5" thickTop="1" thickBot="1">
      <c r="A129" s="862"/>
      <c r="B129" s="182" t="s">
        <v>246</v>
      </c>
      <c r="C129" s="182" t="s">
        <v>97</v>
      </c>
      <c r="D129" s="324">
        <f t="shared" si="16"/>
        <v>0</v>
      </c>
      <c r="E129" s="324"/>
      <c r="F129" s="324"/>
      <c r="G129" s="324"/>
      <c r="H129" s="324"/>
      <c r="I129" s="324"/>
      <c r="J129" s="196">
        <f t="shared" si="17"/>
        <v>0</v>
      </c>
      <c r="K129" s="196"/>
      <c r="L129" s="196"/>
      <c r="M129" s="196"/>
      <c r="N129" s="185"/>
      <c r="O129" s="196"/>
    </row>
    <row r="130" spans="1:16" ht="13.5" thickTop="1" thickBot="1">
      <c r="A130" s="862"/>
      <c r="B130" s="182" t="s">
        <v>247</v>
      </c>
      <c r="C130" s="182" t="s">
        <v>99</v>
      </c>
      <c r="D130" s="324">
        <f t="shared" si="16"/>
        <v>0</v>
      </c>
      <c r="E130" s="324"/>
      <c r="F130" s="324"/>
      <c r="G130" s="324"/>
      <c r="H130" s="323"/>
      <c r="I130" s="324"/>
      <c r="J130" s="196">
        <f t="shared" si="17"/>
        <v>0</v>
      </c>
      <c r="K130" s="196"/>
      <c r="L130" s="196"/>
      <c r="M130" s="196"/>
      <c r="N130" s="196"/>
      <c r="O130" s="196"/>
    </row>
    <row r="131" spans="1:16" ht="13.5" thickTop="1" thickBot="1">
      <c r="A131" s="862"/>
      <c r="B131" s="204" t="s">
        <v>250</v>
      </c>
      <c r="C131" s="595" t="s">
        <v>249</v>
      </c>
      <c r="D131" s="325" t="e">
        <f t="shared" ref="D131:D142" si="18">SUM(E131:I131)</f>
        <v>#REF!</v>
      </c>
      <c r="E131" s="284"/>
      <c r="F131" s="325"/>
      <c r="G131" s="284"/>
      <c r="H131" s="184" t="e">
        <f>'9 месяцев'!H131+#REF!</f>
        <v>#REF!</v>
      </c>
      <c r="I131" s="184" t="e">
        <f>'9 месяцев'!I131+#REF!</f>
        <v>#REF!</v>
      </c>
      <c r="J131" s="206" t="e">
        <f t="shared" ref="J131:J142" si="19">SUM(K131:O131)</f>
        <v>#REF!</v>
      </c>
      <c r="K131" s="284"/>
      <c r="L131" s="325"/>
      <c r="M131" s="214"/>
      <c r="N131" s="338" t="e">
        <f>'9 месяцев'!N131+#REF!</f>
        <v>#REF!</v>
      </c>
      <c r="O131" s="338" t="e">
        <f>'9 месяцев'!O131+#REF!</f>
        <v>#REF!</v>
      </c>
    </row>
    <row r="132" spans="1:16" ht="13.5" thickTop="1" thickBot="1">
      <c r="A132" s="862"/>
      <c r="B132" s="182" t="s">
        <v>251</v>
      </c>
      <c r="C132" s="182" t="s">
        <v>88</v>
      </c>
      <c r="D132" s="324">
        <f t="shared" si="18"/>
        <v>0</v>
      </c>
      <c r="E132" s="324"/>
      <c r="F132" s="324"/>
      <c r="G132" s="324"/>
      <c r="H132" s="324"/>
      <c r="I132" s="324"/>
      <c r="J132" s="196">
        <f t="shared" si="19"/>
        <v>0</v>
      </c>
      <c r="K132" s="196"/>
      <c r="L132" s="196"/>
      <c r="M132" s="196"/>
      <c r="N132" s="196"/>
      <c r="O132" s="196"/>
    </row>
    <row r="133" spans="1:16" ht="13.5" thickTop="1" thickBot="1">
      <c r="A133" s="862"/>
      <c r="B133" s="207"/>
      <c r="C133" s="208" t="s">
        <v>89</v>
      </c>
      <c r="D133" s="326">
        <f t="shared" si="18"/>
        <v>0</v>
      </c>
      <c r="E133" s="327"/>
      <c r="F133" s="327"/>
      <c r="G133" s="326"/>
      <c r="H133" s="339"/>
      <c r="I133" s="327"/>
      <c r="J133" s="209">
        <f t="shared" si="19"/>
        <v>0</v>
      </c>
      <c r="K133" s="210"/>
      <c r="L133" s="210"/>
      <c r="M133" s="209"/>
      <c r="N133" s="339"/>
      <c r="O133" s="210"/>
    </row>
    <row r="134" spans="1:16" ht="13.5" thickTop="1" thickBot="1">
      <c r="A134" s="862"/>
      <c r="B134" s="207"/>
      <c r="C134" s="208" t="s">
        <v>90</v>
      </c>
      <c r="D134" s="326">
        <f t="shared" si="18"/>
        <v>0</v>
      </c>
      <c r="E134" s="327"/>
      <c r="F134" s="327"/>
      <c r="G134" s="327"/>
      <c r="H134" s="339"/>
      <c r="I134" s="326"/>
      <c r="J134" s="209">
        <f t="shared" si="19"/>
        <v>0</v>
      </c>
      <c r="K134" s="210"/>
      <c r="L134" s="210"/>
      <c r="M134" s="210"/>
      <c r="N134" s="699"/>
      <c r="O134" s="209"/>
    </row>
    <row r="135" spans="1:16" ht="13.5" thickTop="1" thickBot="1">
      <c r="A135" s="862"/>
      <c r="B135" s="207"/>
      <c r="C135" s="208" t="s">
        <v>91</v>
      </c>
      <c r="D135" s="326">
        <f t="shared" si="18"/>
        <v>0</v>
      </c>
      <c r="E135" s="327"/>
      <c r="F135" s="327"/>
      <c r="G135" s="327"/>
      <c r="H135" s="327"/>
      <c r="I135" s="326"/>
      <c r="J135" s="209">
        <f t="shared" si="19"/>
        <v>0</v>
      </c>
      <c r="K135" s="210"/>
      <c r="L135" s="210"/>
      <c r="M135" s="210"/>
      <c r="N135" s="210"/>
      <c r="O135" s="209"/>
    </row>
    <row r="136" spans="1:16" ht="13.5" thickTop="1" thickBot="1">
      <c r="A136" s="862"/>
      <c r="B136" s="182" t="s">
        <v>252</v>
      </c>
      <c r="C136" s="182" t="s">
        <v>93</v>
      </c>
      <c r="D136" s="324">
        <f t="shared" si="18"/>
        <v>0</v>
      </c>
      <c r="E136" s="324"/>
      <c r="F136" s="324"/>
      <c r="G136" s="328"/>
      <c r="H136" s="328"/>
      <c r="I136" s="324"/>
      <c r="J136" s="196">
        <f t="shared" si="19"/>
        <v>0</v>
      </c>
      <c r="K136" s="196"/>
      <c r="L136" s="196"/>
      <c r="M136" s="211"/>
      <c r="N136" s="211"/>
      <c r="O136" s="196"/>
    </row>
    <row r="137" spans="1:16" ht="13.5" thickTop="1" thickBot="1">
      <c r="A137" s="862"/>
      <c r="B137" s="182" t="s">
        <v>253</v>
      </c>
      <c r="C137" s="182" t="s">
        <v>95</v>
      </c>
      <c r="D137" s="330">
        <f t="shared" si="18"/>
        <v>0</v>
      </c>
      <c r="E137" s="380"/>
      <c r="F137" s="331"/>
      <c r="G137" s="326"/>
      <c r="H137" s="326"/>
      <c r="I137" s="324"/>
      <c r="J137" s="213">
        <f t="shared" si="19"/>
        <v>0</v>
      </c>
      <c r="K137" s="383"/>
      <c r="L137" s="320"/>
      <c r="M137" s="209"/>
      <c r="N137" s="209"/>
      <c r="O137" s="196"/>
    </row>
    <row r="138" spans="1:16" ht="13.5" thickTop="1" thickBot="1">
      <c r="A138" s="862"/>
      <c r="B138" s="207"/>
      <c r="C138" s="208" t="s">
        <v>89</v>
      </c>
      <c r="D138" s="326">
        <f t="shared" si="18"/>
        <v>0</v>
      </c>
      <c r="E138" s="327"/>
      <c r="F138" s="327"/>
      <c r="G138" s="326"/>
      <c r="H138" s="326"/>
      <c r="I138" s="327"/>
      <c r="J138" s="209">
        <f t="shared" si="19"/>
        <v>0</v>
      </c>
      <c r="K138" s="210"/>
      <c r="L138" s="210"/>
      <c r="M138" s="209"/>
      <c r="N138" s="209"/>
      <c r="O138" s="210"/>
    </row>
    <row r="139" spans="1:16" ht="13.5" thickTop="1" thickBot="1">
      <c r="A139" s="862"/>
      <c r="B139" s="207"/>
      <c r="C139" s="208" t="s">
        <v>90</v>
      </c>
      <c r="D139" s="326">
        <f t="shared" si="18"/>
        <v>0</v>
      </c>
      <c r="E139" s="327"/>
      <c r="F139" s="327"/>
      <c r="G139" s="327"/>
      <c r="H139" s="326"/>
      <c r="I139" s="326"/>
      <c r="J139" s="209">
        <f t="shared" si="19"/>
        <v>0</v>
      </c>
      <c r="K139" s="210"/>
      <c r="L139" s="210"/>
      <c r="M139" s="210"/>
      <c r="N139" s="209"/>
      <c r="O139" s="209"/>
    </row>
    <row r="140" spans="1:16" ht="13.5" thickTop="1" thickBot="1">
      <c r="A140" s="862"/>
      <c r="B140" s="207"/>
      <c r="C140" s="208" t="s">
        <v>91</v>
      </c>
      <c r="D140" s="326">
        <f t="shared" si="18"/>
        <v>0</v>
      </c>
      <c r="E140" s="327"/>
      <c r="F140" s="327"/>
      <c r="G140" s="327"/>
      <c r="H140" s="327"/>
      <c r="I140" s="326"/>
      <c r="J140" s="209">
        <f t="shared" si="19"/>
        <v>0</v>
      </c>
      <c r="K140" s="210"/>
      <c r="L140" s="210"/>
      <c r="M140" s="210"/>
      <c r="N140" s="210"/>
      <c r="O140" s="209"/>
    </row>
    <row r="141" spans="1:16" ht="13.5" thickTop="1" thickBot="1">
      <c r="A141" s="862"/>
      <c r="B141" s="182" t="s">
        <v>254</v>
      </c>
      <c r="C141" s="182" t="s">
        <v>97</v>
      </c>
      <c r="D141" s="324">
        <f t="shared" si="18"/>
        <v>0</v>
      </c>
      <c r="E141" s="324"/>
      <c r="F141" s="324"/>
      <c r="G141" s="324"/>
      <c r="H141" s="324"/>
      <c r="I141" s="324"/>
      <c r="J141" s="196">
        <f t="shared" si="19"/>
        <v>0</v>
      </c>
      <c r="K141" s="196"/>
      <c r="L141" s="196"/>
      <c r="M141" s="196"/>
      <c r="N141" s="185"/>
      <c r="O141" s="196"/>
    </row>
    <row r="142" spans="1:16" ht="13.5" thickTop="1" thickBot="1">
      <c r="A142" s="862"/>
      <c r="B142" s="182" t="s">
        <v>255</v>
      </c>
      <c r="C142" s="182" t="s">
        <v>99</v>
      </c>
      <c r="D142" s="324">
        <f t="shared" si="18"/>
        <v>0</v>
      </c>
      <c r="E142" s="324"/>
      <c r="F142" s="324"/>
      <c r="G142" s="324"/>
      <c r="H142" s="323"/>
      <c r="I142" s="324"/>
      <c r="J142" s="196">
        <f t="shared" si="19"/>
        <v>0</v>
      </c>
      <c r="K142" s="196"/>
      <c r="L142" s="196"/>
      <c r="M142" s="196"/>
      <c r="N142" s="196"/>
      <c r="O142" s="196"/>
    </row>
    <row r="143" spans="1:16" ht="12.75" customHeight="1" thickTop="1" thickBot="1">
      <c r="A143" s="862"/>
      <c r="B143" s="257" t="s">
        <v>100</v>
      </c>
      <c r="C143" s="257" t="s">
        <v>101</v>
      </c>
      <c r="D143" s="181" t="e">
        <f t="shared" si="10"/>
        <v>#REF!</v>
      </c>
      <c r="E143" s="233" t="e">
        <f>SUM(E144:E147)</f>
        <v>#REF!</v>
      </c>
      <c r="F143" s="233" t="e">
        <f>SUM(F144:F147)</f>
        <v>#REF!</v>
      </c>
      <c r="G143" s="233" t="e">
        <f>SUM(G144:G147)</f>
        <v>#REF!</v>
      </c>
      <c r="H143" s="233" t="e">
        <f>SUM(H144:H147)</f>
        <v>#REF!</v>
      </c>
      <c r="I143" s="181" t="e">
        <f>SUM(I144:I147)</f>
        <v>#REF!</v>
      </c>
      <c r="J143" s="181" t="e">
        <f t="shared" si="11"/>
        <v>#REF!</v>
      </c>
      <c r="K143" s="233" t="e">
        <f>SUM(K144:K147)</f>
        <v>#REF!</v>
      </c>
      <c r="L143" s="233" t="e">
        <f>SUM(L144:L147)</f>
        <v>#REF!</v>
      </c>
      <c r="M143" s="233" t="e">
        <f>SUM(M144:M147)</f>
        <v>#REF!</v>
      </c>
      <c r="N143" s="233" t="e">
        <f>SUM(N144:N147)</f>
        <v>#REF!</v>
      </c>
      <c r="O143" s="181" t="e">
        <f>SUM(O144:O147)</f>
        <v>#REF!</v>
      </c>
      <c r="P143" s="24"/>
    </row>
    <row r="144" spans="1:16" ht="12.75" customHeight="1" thickTop="1" thickBot="1">
      <c r="A144" s="862"/>
      <c r="B144" s="249" t="s">
        <v>102</v>
      </c>
      <c r="C144" s="250" t="s">
        <v>103</v>
      </c>
      <c r="D144" s="217" t="e">
        <f t="shared" si="10"/>
        <v>#REF!</v>
      </c>
      <c r="E144" s="235"/>
      <c r="F144" s="235"/>
      <c r="G144" s="235"/>
      <c r="H144" s="235"/>
      <c r="I144" s="184" t="e">
        <f>'9 месяцев'!I144+#REF!</f>
        <v>#REF!</v>
      </c>
      <c r="J144" s="218" t="e">
        <f t="shared" si="11"/>
        <v>#REF!</v>
      </c>
      <c r="K144" s="235"/>
      <c r="L144" s="235"/>
      <c r="M144" s="235"/>
      <c r="N144" s="235"/>
      <c r="O144" s="184" t="e">
        <f>'9 месяцев'!O144+#REF!</f>
        <v>#REF!</v>
      </c>
      <c r="P144" s="24"/>
    </row>
    <row r="145" spans="1:19" ht="12.75" customHeight="1" thickTop="1" thickBot="1">
      <c r="A145" s="862"/>
      <c r="B145" s="249" t="s">
        <v>104</v>
      </c>
      <c r="C145" s="250" t="s">
        <v>206</v>
      </c>
      <c r="D145" s="217"/>
      <c r="E145" s="235"/>
      <c r="F145" s="235"/>
      <c r="G145" s="235"/>
      <c r="H145" s="235"/>
      <c r="I145" s="184"/>
      <c r="J145" s="218"/>
      <c r="K145" s="235"/>
      <c r="L145" s="235"/>
      <c r="M145" s="235"/>
      <c r="N145" s="235"/>
      <c r="O145" s="184"/>
      <c r="P145" s="24"/>
    </row>
    <row r="146" spans="1:19" ht="12.75" customHeight="1" thickTop="1" thickBot="1">
      <c r="A146" s="862"/>
      <c r="B146" s="249" t="s">
        <v>106</v>
      </c>
      <c r="C146" s="250" t="s">
        <v>105</v>
      </c>
      <c r="D146" s="217" t="e">
        <f t="shared" si="10"/>
        <v>#REF!</v>
      </c>
      <c r="E146" s="184" t="e">
        <f>'9 месяцев'!E146+#REF!</f>
        <v>#REF!</v>
      </c>
      <c r="F146" s="184" t="e">
        <f>'9 месяцев'!F146+#REF!</f>
        <v>#REF!</v>
      </c>
      <c r="G146" s="184" t="e">
        <f>'9 месяцев'!G146+#REF!</f>
        <v>#REF!</v>
      </c>
      <c r="H146" s="184" t="e">
        <f>'9 месяцев'!H146+#REF!</f>
        <v>#REF!</v>
      </c>
      <c r="I146" s="184" t="e">
        <f>'9 месяцев'!I146+#REF!</f>
        <v>#REF!</v>
      </c>
      <c r="J146" s="218" t="e">
        <f t="shared" si="11"/>
        <v>#REF!</v>
      </c>
      <c r="K146" s="184" t="e">
        <f>'9 месяцев'!K146+#REF!</f>
        <v>#REF!</v>
      </c>
      <c r="L146" s="184" t="e">
        <f>'9 месяцев'!L146+#REF!</f>
        <v>#REF!</v>
      </c>
      <c r="M146" s="184" t="e">
        <f>'9 месяцев'!M146+#REF!</f>
        <v>#REF!</v>
      </c>
      <c r="N146" s="184" t="e">
        <f>'9 месяцев'!N146+#REF!</f>
        <v>#REF!</v>
      </c>
      <c r="O146" s="184" t="e">
        <f>'9 месяцев'!O146+#REF!</f>
        <v>#REF!</v>
      </c>
    </row>
    <row r="147" spans="1:19" ht="12.75" customHeight="1" thickTop="1" thickBot="1">
      <c r="A147" s="862"/>
      <c r="B147" s="249" t="s">
        <v>207</v>
      </c>
      <c r="C147" s="250" t="s">
        <v>107</v>
      </c>
      <c r="D147" s="217" t="e">
        <f t="shared" si="10"/>
        <v>#REF!</v>
      </c>
      <c r="E147" s="184" t="e">
        <f>'9 месяцев'!E147+#REF!</f>
        <v>#REF!</v>
      </c>
      <c r="F147" s="184" t="e">
        <f>'9 месяцев'!F147+#REF!</f>
        <v>#REF!</v>
      </c>
      <c r="G147" s="184" t="e">
        <f>'9 месяцев'!G147+#REF!</f>
        <v>#REF!</v>
      </c>
      <c r="H147" s="184" t="e">
        <f>'9 месяцев'!H147+#REF!</f>
        <v>#REF!</v>
      </c>
      <c r="I147" s="184" t="e">
        <f>'9 месяцев'!I147+#REF!</f>
        <v>#REF!</v>
      </c>
      <c r="J147" s="218" t="e">
        <f t="shared" si="11"/>
        <v>#REF!</v>
      </c>
      <c r="K147" s="184" t="e">
        <f>'9 месяцев'!K147+#REF!</f>
        <v>#REF!</v>
      </c>
      <c r="L147" s="184" t="e">
        <f>'9 месяцев'!L147+#REF!</f>
        <v>#REF!</v>
      </c>
      <c r="M147" s="184" t="e">
        <f>'9 месяцев'!M147+#REF!</f>
        <v>#REF!</v>
      </c>
      <c r="N147" s="184" t="e">
        <f>'9 месяцев'!N147+#REF!</f>
        <v>#REF!</v>
      </c>
      <c r="O147" s="184" t="e">
        <f>'9 месяцев'!O147+#REF!</f>
        <v>#REF!</v>
      </c>
    </row>
    <row r="148" spans="1:19" ht="12.75" customHeight="1" thickTop="1" thickBot="1">
      <c r="A148" s="862"/>
      <c r="B148" s="249" t="s">
        <v>108</v>
      </c>
      <c r="C148" s="249" t="s">
        <v>169</v>
      </c>
      <c r="D148" s="291" t="e">
        <f>D150/1.18/D143</f>
        <v>#REF!</v>
      </c>
      <c r="E148" s="596">
        <v>0.93222000000000005</v>
      </c>
      <c r="F148" s="596">
        <v>0.93222000000000005</v>
      </c>
      <c r="G148" s="596">
        <v>1.21035</v>
      </c>
      <c r="H148" s="596">
        <v>1.94818</v>
      </c>
      <c r="I148" s="596">
        <v>2.8441000000000001</v>
      </c>
      <c r="J148" s="291" t="e">
        <f>J150/1.18/J143</f>
        <v>#REF!</v>
      </c>
      <c r="K148" s="596">
        <v>0.93222000000000005</v>
      </c>
      <c r="L148" s="596">
        <v>0.93222000000000005</v>
      </c>
      <c r="M148" s="596">
        <v>1.21035</v>
      </c>
      <c r="N148" s="596">
        <v>1.94818</v>
      </c>
      <c r="O148" s="596">
        <v>2.8441000000000001</v>
      </c>
    </row>
    <row r="149" spans="1:19" ht="12.75" customHeight="1" thickTop="1" thickBot="1">
      <c r="A149" s="862"/>
      <c r="B149" s="249" t="s">
        <v>205</v>
      </c>
      <c r="C149" s="249" t="s">
        <v>169</v>
      </c>
      <c r="D149" s="291"/>
      <c r="E149" s="289"/>
      <c r="F149" s="290"/>
      <c r="G149" s="290"/>
      <c r="H149" s="290"/>
      <c r="I149" s="598">
        <v>1.5637700000000001</v>
      </c>
      <c r="J149" s="291"/>
      <c r="K149" s="289"/>
      <c r="L149" s="290"/>
      <c r="M149" s="290"/>
      <c r="N149" s="290"/>
      <c r="O149" s="598">
        <v>1.5637700000000001</v>
      </c>
    </row>
    <row r="150" spans="1:19" ht="12.75" customHeight="1" thickTop="1" thickBot="1">
      <c r="A150" s="862"/>
      <c r="B150" s="249" t="s">
        <v>109</v>
      </c>
      <c r="C150" s="292" t="s">
        <v>110</v>
      </c>
      <c r="D150" s="285" t="e">
        <f>SUM(E150:I150)</f>
        <v>#REF!</v>
      </c>
      <c r="E150" s="338" t="e">
        <f>'9 месяцев'!E150+#REF!</f>
        <v>#REF!</v>
      </c>
      <c r="F150" s="338" t="e">
        <f>'9 месяцев'!F150+#REF!</f>
        <v>#REF!</v>
      </c>
      <c r="G150" s="338" t="e">
        <f>'9 месяцев'!G150+#REF!</f>
        <v>#REF!</v>
      </c>
      <c r="H150" s="338" t="e">
        <f>'9 месяцев'!H150+#REF!</f>
        <v>#REF!</v>
      </c>
      <c r="I150" s="338" t="e">
        <f>'9 месяцев'!I150+#REF!</f>
        <v>#REF!</v>
      </c>
      <c r="J150" s="261" t="e">
        <f>SUM(K150:O150)</f>
        <v>#REF!</v>
      </c>
      <c r="K150" s="338" t="e">
        <f>'9 месяцев'!K150+#REF!</f>
        <v>#REF!</v>
      </c>
      <c r="L150" s="338" t="e">
        <f>'9 месяцев'!L150+#REF!</f>
        <v>#REF!</v>
      </c>
      <c r="M150" s="338" t="e">
        <f>'9 месяцев'!M150+#REF!</f>
        <v>#REF!</v>
      </c>
      <c r="N150" s="338" t="e">
        <f>'9 месяцев'!N150+#REF!</f>
        <v>#REF!</v>
      </c>
      <c r="O150" s="338" t="e">
        <f>'9 месяцев'!O150+#REF!</f>
        <v>#REF!</v>
      </c>
      <c r="Q150" s="24"/>
    </row>
    <row r="151" spans="1:19" ht="12.75" customHeight="1" thickTop="1" thickBot="1">
      <c r="A151" s="863" t="s">
        <v>111</v>
      </c>
      <c r="B151" s="220" t="s">
        <v>112</v>
      </c>
      <c r="C151" s="221" t="s">
        <v>113</v>
      </c>
      <c r="D151" s="222" t="e">
        <f>SUM(E151:I151)</f>
        <v>#REF!</v>
      </c>
      <c r="E151" s="222" t="e">
        <f>E44-E34-E46</f>
        <v>#REF!</v>
      </c>
      <c r="F151" s="222" t="e">
        <f>F44-F34-F46</f>
        <v>#REF!</v>
      </c>
      <c r="G151" s="222" t="e">
        <f>G44-G34-G46</f>
        <v>#REF!</v>
      </c>
      <c r="H151" s="222" t="e">
        <f>H44-H34-H46</f>
        <v>#REF!</v>
      </c>
      <c r="I151" s="222" t="e">
        <f>I44-I34-I46</f>
        <v>#REF!</v>
      </c>
      <c r="J151" s="222" t="e">
        <f>SUM(K151:O151)</f>
        <v>#REF!</v>
      </c>
      <c r="K151" s="222" t="e">
        <f>K44-K34-K46</f>
        <v>#REF!</v>
      </c>
      <c r="L151" s="222" t="e">
        <f>L44-L34-L46</f>
        <v>#REF!</v>
      </c>
      <c r="M151" s="222" t="e">
        <f>M44-M34-M46</f>
        <v>#REF!</v>
      </c>
      <c r="N151" s="222" t="e">
        <f>N44-N34-N46</f>
        <v>#REF!</v>
      </c>
      <c r="O151" s="222" t="e">
        <f>O44-O34-O46</f>
        <v>#REF!</v>
      </c>
    </row>
    <row r="152" spans="1:19" ht="12.75" customHeight="1" thickTop="1" thickBot="1">
      <c r="A152" s="863"/>
      <c r="B152" s="234" t="s">
        <v>114</v>
      </c>
      <c r="C152" s="179" t="s">
        <v>115</v>
      </c>
      <c r="D152" s="346" t="e">
        <f t="shared" ref="D152:J152" si="20">IF(D44=0,0,D151/D44*100)</f>
        <v>#REF!</v>
      </c>
      <c r="E152" s="346" t="e">
        <f t="shared" si="20"/>
        <v>#REF!</v>
      </c>
      <c r="F152" s="346" t="e">
        <f t="shared" si="20"/>
        <v>#REF!</v>
      </c>
      <c r="G152" s="346" t="e">
        <f t="shared" si="20"/>
        <v>#REF!</v>
      </c>
      <c r="H152" s="346" t="e">
        <f t="shared" si="20"/>
        <v>#REF!</v>
      </c>
      <c r="I152" s="346" t="e">
        <f t="shared" si="20"/>
        <v>#REF!</v>
      </c>
      <c r="J152" s="346" t="e">
        <f t="shared" si="20"/>
        <v>#REF!</v>
      </c>
      <c r="K152" s="346" t="e">
        <f>IF(K44=0,0,K151/K44*100)</f>
        <v>#REF!</v>
      </c>
      <c r="L152" s="346" t="e">
        <f t="shared" ref="L152:O152" si="21">IF(L44=0,0,L151/L44*100)</f>
        <v>#REF!</v>
      </c>
      <c r="M152" s="346" t="e">
        <f t="shared" si="21"/>
        <v>#REF!</v>
      </c>
      <c r="N152" s="346" t="e">
        <f t="shared" si="21"/>
        <v>#REF!</v>
      </c>
      <c r="O152" s="346" t="e">
        <f t="shared" si="21"/>
        <v>#REF!</v>
      </c>
    </row>
    <row r="153" spans="1:19" ht="12.75" customHeight="1" thickTop="1" thickBot="1">
      <c r="A153" s="863"/>
      <c r="B153" s="234" t="s">
        <v>116</v>
      </c>
      <c r="C153" s="179" t="s">
        <v>117</v>
      </c>
      <c r="D153" s="346" t="e">
        <f t="shared" ref="D153:J153" si="22">IF(D45=0,0,D151/D45*100)</f>
        <v>#REF!</v>
      </c>
      <c r="E153" s="346" t="e">
        <f t="shared" si="22"/>
        <v>#REF!</v>
      </c>
      <c r="F153" s="346" t="e">
        <f t="shared" si="22"/>
        <v>#REF!</v>
      </c>
      <c r="G153" s="346" t="e">
        <f t="shared" si="22"/>
        <v>#REF!</v>
      </c>
      <c r="H153" s="346" t="e">
        <f t="shared" si="22"/>
        <v>#REF!</v>
      </c>
      <c r="I153" s="346" t="e">
        <f t="shared" si="22"/>
        <v>#REF!</v>
      </c>
      <c r="J153" s="346" t="e">
        <f t="shared" si="22"/>
        <v>#REF!</v>
      </c>
      <c r="K153" s="346" t="e">
        <f>IF(K45=0,0,K151/K45*100)</f>
        <v>#REF!</v>
      </c>
      <c r="L153" s="346" t="e">
        <f t="shared" ref="L153:O153" si="23">IF(L45=0,0,L151/L45*100)</f>
        <v>#REF!</v>
      </c>
      <c r="M153" s="346" t="e">
        <f t="shared" si="23"/>
        <v>#REF!</v>
      </c>
      <c r="N153" s="346" t="e">
        <f t="shared" si="23"/>
        <v>#REF!</v>
      </c>
      <c r="O153" s="346" t="e">
        <f t="shared" si="23"/>
        <v>#REF!</v>
      </c>
    </row>
    <row r="154" spans="1:19" ht="12.75" customHeight="1" thickTop="1" thickBot="1">
      <c r="A154" s="863"/>
      <c r="B154" s="224" t="s">
        <v>118</v>
      </c>
      <c r="C154" s="225" t="s">
        <v>119</v>
      </c>
      <c r="D154" s="451"/>
      <c r="E154" s="451"/>
      <c r="F154" s="184" t="e">
        <f>'9 месяцев'!F154+#REF!</f>
        <v>#REF!</v>
      </c>
      <c r="G154" s="451"/>
      <c r="H154" s="451"/>
      <c r="I154" s="451"/>
      <c r="J154" s="451" t="e">
        <f>SUM(K154:O154)</f>
        <v>#REF!</v>
      </c>
      <c r="K154" s="451"/>
      <c r="L154" s="184" t="e">
        <f>'9 месяцев'!L154+#REF!</f>
        <v>#REF!</v>
      </c>
      <c r="M154" s="451">
        <v>0</v>
      </c>
      <c r="N154" s="451">
        <v>0</v>
      </c>
      <c r="O154" s="451">
        <v>0</v>
      </c>
    </row>
    <row r="155" spans="1:19" ht="12.75" customHeight="1" thickTop="1" thickBot="1">
      <c r="A155" s="863"/>
      <c r="B155" s="227" t="s">
        <v>120</v>
      </c>
      <c r="C155" s="186" t="s">
        <v>121</v>
      </c>
      <c r="D155" s="450" t="e">
        <f>SUM(E155:I155)</f>
        <v>#REF!</v>
      </c>
      <c r="E155" s="450" t="e">
        <f>E151</f>
        <v>#REF!</v>
      </c>
      <c r="F155" s="450" t="e">
        <f>F151</f>
        <v>#REF!</v>
      </c>
      <c r="G155" s="450" t="e">
        <f>G151</f>
        <v>#REF!</v>
      </c>
      <c r="H155" s="450" t="e">
        <f>H151</f>
        <v>#REF!</v>
      </c>
      <c r="I155" s="450" t="e">
        <f>I151</f>
        <v>#REF!</v>
      </c>
      <c r="J155" s="450" t="e">
        <f>SUM(K155:O155)</f>
        <v>#REF!</v>
      </c>
      <c r="K155" s="450" t="e">
        <f>K151</f>
        <v>#REF!</v>
      </c>
      <c r="L155" s="450" t="e">
        <f>L151</f>
        <v>#REF!</v>
      </c>
      <c r="M155" s="450" t="e">
        <f>M151</f>
        <v>#REF!</v>
      </c>
      <c r="N155" s="450" t="e">
        <f>N151</f>
        <v>#REF!</v>
      </c>
      <c r="O155" s="450" t="e">
        <f>O151</f>
        <v>#REF!</v>
      </c>
    </row>
    <row r="156" spans="1:19" ht="12.75" customHeight="1" thickTop="1" thickBot="1">
      <c r="A156" s="863"/>
      <c r="B156" s="227" t="s">
        <v>122</v>
      </c>
      <c r="C156" s="186" t="s">
        <v>123</v>
      </c>
      <c r="D156" s="444" t="e">
        <f>D157/1.18/D155</f>
        <v>#REF!</v>
      </c>
      <c r="E156" s="341">
        <v>1.649345818049069</v>
      </c>
      <c r="F156" s="341">
        <v>1.649345818049069</v>
      </c>
      <c r="G156" s="341">
        <v>1.649345818049069</v>
      </c>
      <c r="H156" s="341">
        <v>1.649345818049069</v>
      </c>
      <c r="I156" s="341">
        <v>1.649345818049069</v>
      </c>
      <c r="J156" s="455" t="e">
        <f>J157/1.18/J155</f>
        <v>#REF!</v>
      </c>
      <c r="K156" s="241">
        <v>1.5100989979231851</v>
      </c>
      <c r="L156" s="241">
        <v>1.5100989979231851</v>
      </c>
      <c r="M156" s="241">
        <v>1.5100989979231851</v>
      </c>
      <c r="N156" s="241">
        <v>1.5100989979231851</v>
      </c>
      <c r="O156" s="241">
        <v>1.5100989979231851</v>
      </c>
    </row>
    <row r="157" spans="1:19" ht="12.75" customHeight="1" thickTop="1" thickBot="1">
      <c r="A157" s="863"/>
      <c r="B157" s="227" t="s">
        <v>124</v>
      </c>
      <c r="C157" s="186" t="s">
        <v>125</v>
      </c>
      <c r="D157" s="450" t="e">
        <f>SUM(E157:I157)</f>
        <v>#REF!</v>
      </c>
      <c r="E157" s="450" t="e">
        <f>E155*E156*1.18</f>
        <v>#REF!</v>
      </c>
      <c r="F157" s="450" t="e">
        <f>F155*F156*1.18</f>
        <v>#REF!</v>
      </c>
      <c r="G157" s="450" t="e">
        <f>G155*G156*1.18</f>
        <v>#REF!</v>
      </c>
      <c r="H157" s="450" t="e">
        <f>H155*H156*1.18</f>
        <v>#REF!</v>
      </c>
      <c r="I157" s="450" t="e">
        <f>I155*I156*1.18</f>
        <v>#REF!</v>
      </c>
      <c r="J157" s="450" t="e">
        <f>SUM(K157:O157)</f>
        <v>#REF!</v>
      </c>
      <c r="K157" s="450" t="e">
        <f>K155*K156*1.18</f>
        <v>#REF!</v>
      </c>
      <c r="L157" s="450" t="e">
        <f>L155*L156*1.18</f>
        <v>#REF!</v>
      </c>
      <c r="M157" s="450" t="e">
        <f>M155*M156*1.18</f>
        <v>#REF!</v>
      </c>
      <c r="N157" s="450" t="e">
        <f>N155*N156*1.18</f>
        <v>#REF!</v>
      </c>
      <c r="O157" s="450" t="e">
        <f>O155*O156*1.18</f>
        <v>#REF!</v>
      </c>
    </row>
    <row r="158" spans="1:19" ht="12.75" customHeight="1" thickTop="1" thickBot="1">
      <c r="A158" s="863"/>
      <c r="B158" s="229" t="s">
        <v>126</v>
      </c>
      <c r="C158" s="225" t="s">
        <v>127</v>
      </c>
      <c r="D158" s="451" t="e">
        <f>SUM(E158:I158)</f>
        <v>#REF!</v>
      </c>
      <c r="E158" s="184" t="e">
        <f>'9 месяцев'!E158+#REF!</f>
        <v>#REF!</v>
      </c>
      <c r="F158" s="184" t="e">
        <f>'9 месяцев'!F158+#REF!</f>
        <v>#REF!</v>
      </c>
      <c r="G158" s="184" t="e">
        <f>'9 месяцев'!G158+#REF!</f>
        <v>#REF!</v>
      </c>
      <c r="H158" s="184" t="e">
        <f>'9 месяцев'!H158+#REF!</f>
        <v>#REF!</v>
      </c>
      <c r="I158" s="184" t="e">
        <f>'9 месяцев'!I158+#REF!</f>
        <v>#REF!</v>
      </c>
      <c r="J158" s="451" t="e">
        <f>SUM(K158:O158)</f>
        <v>#REF!</v>
      </c>
      <c r="K158" s="184" t="e">
        <f>'9 месяцев'!K158+#REF!</f>
        <v>#REF!</v>
      </c>
      <c r="L158" s="184" t="e">
        <f>'9 месяцев'!L158+#REF!</f>
        <v>#REF!</v>
      </c>
      <c r="M158" s="184" t="e">
        <f>'9 месяцев'!M158+#REF!</f>
        <v>#REF!</v>
      </c>
      <c r="N158" s="184" t="e">
        <f>'9 месяцев'!N158+#REF!</f>
        <v>#REF!</v>
      </c>
      <c r="O158" s="184" t="e">
        <f>'9 месяцев'!O158+#REF!</f>
        <v>#REF!</v>
      </c>
    </row>
    <row r="159" spans="1:19" ht="12.75" customHeight="1" thickTop="1" thickBot="1">
      <c r="A159" s="863"/>
      <c r="B159" s="229" t="s">
        <v>128</v>
      </c>
      <c r="C159" s="225" t="s">
        <v>129</v>
      </c>
      <c r="D159" s="345" t="e">
        <f t="shared" ref="D159:O159" si="24">IF(D44=0,0,D158/D44*100)</f>
        <v>#REF!</v>
      </c>
      <c r="E159" s="345" t="e">
        <f t="shared" si="24"/>
        <v>#REF!</v>
      </c>
      <c r="F159" s="345" t="e">
        <f t="shared" si="24"/>
        <v>#REF!</v>
      </c>
      <c r="G159" s="345" t="e">
        <f t="shared" si="24"/>
        <v>#REF!</v>
      </c>
      <c r="H159" s="345" t="e">
        <f t="shared" si="24"/>
        <v>#REF!</v>
      </c>
      <c r="I159" s="345" t="e">
        <f t="shared" si="24"/>
        <v>#REF!</v>
      </c>
      <c r="J159" s="345" t="e">
        <f t="shared" si="24"/>
        <v>#REF!</v>
      </c>
      <c r="K159" s="345" t="e">
        <f>IF(K44=0,0,K158/K44*100)</f>
        <v>#REF!</v>
      </c>
      <c r="L159" s="345" t="e">
        <f t="shared" si="24"/>
        <v>#REF!</v>
      </c>
      <c r="M159" s="345" t="e">
        <f t="shared" si="24"/>
        <v>#REF!</v>
      </c>
      <c r="N159" s="345" t="e">
        <f t="shared" si="24"/>
        <v>#REF!</v>
      </c>
      <c r="O159" s="345" t="e">
        <f t="shared" si="24"/>
        <v>#REF!</v>
      </c>
      <c r="P159" s="25"/>
      <c r="Q159" s="25"/>
      <c r="R159" s="25"/>
      <c r="S159" s="25"/>
    </row>
    <row r="160" spans="1:19" ht="12.75" customHeight="1" thickTop="1" thickBot="1">
      <c r="A160" s="863"/>
      <c r="B160" s="230" t="s">
        <v>130</v>
      </c>
      <c r="C160" s="225" t="s">
        <v>131</v>
      </c>
      <c r="D160" s="345" t="e">
        <f t="shared" ref="D160:O160" si="25">IF(D45=0,0,D158/D45*100)</f>
        <v>#REF!</v>
      </c>
      <c r="E160" s="345" t="e">
        <f t="shared" si="25"/>
        <v>#REF!</v>
      </c>
      <c r="F160" s="345" t="e">
        <f t="shared" si="25"/>
        <v>#REF!</v>
      </c>
      <c r="G160" s="345" t="e">
        <f t="shared" si="25"/>
        <v>#REF!</v>
      </c>
      <c r="H160" s="345" t="e">
        <f t="shared" si="25"/>
        <v>#REF!</v>
      </c>
      <c r="I160" s="345" t="e">
        <f t="shared" si="25"/>
        <v>#REF!</v>
      </c>
      <c r="J160" s="345" t="e">
        <f t="shared" si="25"/>
        <v>#REF!</v>
      </c>
      <c r="K160" s="345" t="e">
        <f t="shared" si="25"/>
        <v>#REF!</v>
      </c>
      <c r="L160" s="345" t="e">
        <f t="shared" si="25"/>
        <v>#REF!</v>
      </c>
      <c r="M160" s="345" t="e">
        <f t="shared" si="25"/>
        <v>#REF!</v>
      </c>
      <c r="N160" s="345" t="e">
        <f t="shared" si="25"/>
        <v>#REF!</v>
      </c>
      <c r="O160" s="345" t="e">
        <f t="shared" si="25"/>
        <v>#REF!</v>
      </c>
      <c r="P160" s="25"/>
      <c r="Q160" s="25"/>
      <c r="R160" s="25"/>
      <c r="S160" s="25"/>
    </row>
    <row r="161" spans="1:15" ht="12.75" customHeight="1" thickTop="1" thickBot="1">
      <c r="A161" s="863"/>
      <c r="B161" s="231" t="s">
        <v>132</v>
      </c>
      <c r="C161" s="186" t="s">
        <v>133</v>
      </c>
      <c r="D161" s="450" t="e">
        <f>SUM(E161:I161)</f>
        <v>#REF!</v>
      </c>
      <c r="E161" s="450" t="e">
        <f>E151-E158</f>
        <v>#REF!</v>
      </c>
      <c r="F161" s="450" t="e">
        <f>F151-F158</f>
        <v>#REF!</v>
      </c>
      <c r="G161" s="450" t="e">
        <f>G151-G158</f>
        <v>#REF!</v>
      </c>
      <c r="H161" s="450" t="e">
        <f>H151-H158</f>
        <v>#REF!</v>
      </c>
      <c r="I161" s="450" t="e">
        <f>I151-I158</f>
        <v>#REF!</v>
      </c>
      <c r="J161" s="450" t="e">
        <f>SUM(K161:O161)</f>
        <v>#REF!</v>
      </c>
      <c r="K161" s="450" t="e">
        <f>K151-K158</f>
        <v>#REF!</v>
      </c>
      <c r="L161" s="450" t="e">
        <f>L151-L158</f>
        <v>#REF!</v>
      </c>
      <c r="M161" s="450" t="e">
        <f>M151-M158</f>
        <v>#REF!</v>
      </c>
      <c r="N161" s="450" t="e">
        <f>N151-N158</f>
        <v>#REF!</v>
      </c>
      <c r="O161" s="450" t="e">
        <f>O151-O158</f>
        <v>#REF!</v>
      </c>
    </row>
    <row r="162" spans="1:15" ht="12.75" customHeight="1" thickTop="1" thickBot="1">
      <c r="A162" s="863"/>
      <c r="B162" s="231" t="s">
        <v>134</v>
      </c>
      <c r="C162" s="186" t="s">
        <v>135</v>
      </c>
      <c r="D162" s="347" t="e">
        <f>IF(D44=0,0,D161/D44*100)</f>
        <v>#REF!</v>
      </c>
      <c r="E162" s="347" t="e">
        <f t="shared" ref="E162:I162" si="26">IF(E44=0,0,E161/E44*100)</f>
        <v>#REF!</v>
      </c>
      <c r="F162" s="347" t="e">
        <f t="shared" si="26"/>
        <v>#REF!</v>
      </c>
      <c r="G162" s="347" t="e">
        <f t="shared" si="26"/>
        <v>#REF!</v>
      </c>
      <c r="H162" s="347" t="e">
        <f t="shared" si="26"/>
        <v>#REF!</v>
      </c>
      <c r="I162" s="347" t="e">
        <f t="shared" si="26"/>
        <v>#REF!</v>
      </c>
      <c r="J162" s="347" t="e">
        <f>IF(J44=0,0,J161/J44*100)</f>
        <v>#REF!</v>
      </c>
      <c r="K162" s="347" t="e">
        <f>IF(K44=0,0,K161/K44*100)</f>
        <v>#REF!</v>
      </c>
      <c r="L162" s="347" t="e">
        <f t="shared" ref="L162:O162" si="27">IF(L44=0,0,L161/L44*100)</f>
        <v>#REF!</v>
      </c>
      <c r="M162" s="347" t="e">
        <f t="shared" si="27"/>
        <v>#REF!</v>
      </c>
      <c r="N162" s="347" t="e">
        <f t="shared" si="27"/>
        <v>#REF!</v>
      </c>
      <c r="O162" s="347" t="e">
        <f t="shared" si="27"/>
        <v>#REF!</v>
      </c>
    </row>
    <row r="163" spans="1:15" ht="12.75" customHeight="1" thickTop="1" thickBot="1">
      <c r="A163" s="863"/>
      <c r="B163" s="231" t="s">
        <v>136</v>
      </c>
      <c r="C163" s="186" t="s">
        <v>137</v>
      </c>
      <c r="D163" s="347" t="e">
        <f>IF(D45=0,0,D161/D45*100)</f>
        <v>#REF!</v>
      </c>
      <c r="E163" s="347" t="e">
        <f t="shared" ref="E163:O163" si="28">IF(E45=0,0,E161/E45*100)</f>
        <v>#REF!</v>
      </c>
      <c r="F163" s="347" t="e">
        <f t="shared" si="28"/>
        <v>#REF!</v>
      </c>
      <c r="G163" s="347" t="e">
        <f t="shared" si="28"/>
        <v>#REF!</v>
      </c>
      <c r="H163" s="347" t="e">
        <f t="shared" si="28"/>
        <v>#REF!</v>
      </c>
      <c r="I163" s="347" t="e">
        <f t="shared" si="28"/>
        <v>#REF!</v>
      </c>
      <c r="J163" s="347" t="e">
        <f t="shared" si="28"/>
        <v>#REF!</v>
      </c>
      <c r="K163" s="347" t="e">
        <f t="shared" si="28"/>
        <v>#REF!</v>
      </c>
      <c r="L163" s="347" t="e">
        <f t="shared" si="28"/>
        <v>#REF!</v>
      </c>
      <c r="M163" s="347" t="e">
        <f t="shared" si="28"/>
        <v>#REF!</v>
      </c>
      <c r="N163" s="347" t="e">
        <f t="shared" si="28"/>
        <v>#REF!</v>
      </c>
      <c r="O163" s="347" t="e">
        <f t="shared" si="28"/>
        <v>#REF!</v>
      </c>
    </row>
    <row r="164" spans="1:15">
      <c r="A164" s="94" t="s">
        <v>195</v>
      </c>
      <c r="J164" s="25"/>
      <c r="K164" s="25"/>
      <c r="L164" s="25"/>
      <c r="M164" s="25"/>
      <c r="N164" s="25"/>
      <c r="O164" s="25"/>
    </row>
    <row r="165" spans="1:15" ht="12.75" thickBot="1">
      <c r="J165" s="27"/>
      <c r="K165" s="82"/>
      <c r="L165" s="27"/>
      <c r="M165" s="27"/>
      <c r="N165" s="27"/>
      <c r="O165" s="27"/>
    </row>
    <row r="166" spans="1:15" ht="12.75" customHeight="1" thickBot="1">
      <c r="B166" s="854" t="s">
        <v>138</v>
      </c>
      <c r="C166" s="855" t="s">
        <v>139</v>
      </c>
      <c r="D166" s="851" t="s">
        <v>140</v>
      </c>
      <c r="E166" s="851"/>
      <c r="F166" s="851"/>
      <c r="G166" s="851"/>
      <c r="H166" s="851"/>
      <c r="I166" s="851"/>
      <c r="J166" s="851" t="s">
        <v>140</v>
      </c>
      <c r="K166" s="851"/>
      <c r="L166" s="851"/>
      <c r="M166" s="851"/>
      <c r="N166" s="851"/>
      <c r="O166" s="851"/>
    </row>
    <row r="167" spans="1:15">
      <c r="B167" s="854"/>
      <c r="C167" s="855"/>
      <c r="D167" s="28" t="s">
        <v>141</v>
      </c>
      <c r="E167" s="29"/>
      <c r="F167" s="29" t="s">
        <v>5</v>
      </c>
      <c r="G167" s="30" t="s">
        <v>74</v>
      </c>
      <c r="H167" s="30" t="s">
        <v>76</v>
      </c>
      <c r="I167" s="31" t="s">
        <v>8</v>
      </c>
      <c r="J167" s="28" t="s">
        <v>141</v>
      </c>
      <c r="K167" s="29"/>
      <c r="L167" s="29" t="s">
        <v>5</v>
      </c>
      <c r="M167" s="30" t="s">
        <v>74</v>
      </c>
      <c r="N167" s="30" t="s">
        <v>76</v>
      </c>
      <c r="O167" s="31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 t="e">
        <f>D174+D175+D176</f>
        <v>#REF!</v>
      </c>
      <c r="E169" s="35"/>
      <c r="F169" s="36" t="e">
        <f>F170+F174+F175+F176</f>
        <v>#REF!</v>
      </c>
      <c r="G169" s="36" t="e">
        <f>G170+G174+G175+G176</f>
        <v>#REF!</v>
      </c>
      <c r="H169" s="36" t="e">
        <f>H170+H174+H175+H176</f>
        <v>#REF!</v>
      </c>
      <c r="I169" s="37" t="e">
        <f>I170+I174+I175+I176</f>
        <v>#REF!</v>
      </c>
      <c r="J169" s="34" t="e">
        <f>J174+J175+J176</f>
        <v>#REF!</v>
      </c>
      <c r="K169" s="35"/>
      <c r="L169" s="36" t="e">
        <f>L170+L174+L175+L176</f>
        <v>#REF!</v>
      </c>
      <c r="M169" s="36" t="e">
        <f>M170+M174+M175+M176</f>
        <v>#REF!</v>
      </c>
      <c r="N169" s="36" t="e">
        <f>N170+N174+N175+N176</f>
        <v>#REF!</v>
      </c>
      <c r="O169" s="37" t="e">
        <f>O170+O174+O175+O176</f>
        <v>#REF!</v>
      </c>
    </row>
    <row r="170" spans="1:15" ht="12.75">
      <c r="B170" s="38" t="s">
        <v>12</v>
      </c>
      <c r="C170" s="39" t="s">
        <v>143</v>
      </c>
      <c r="D170" s="675" t="e">
        <f t="shared" ref="D170:D177" si="29">SUM(F170:I170)</f>
        <v>#REF!</v>
      </c>
      <c r="E170" s="676"/>
      <c r="F170" s="676"/>
      <c r="G170" s="677" t="e">
        <f>SUM(G171:G173)</f>
        <v>#REF!</v>
      </c>
      <c r="H170" s="677" t="e">
        <f>SUM(H171:H173)</f>
        <v>#REF!</v>
      </c>
      <c r="I170" s="678" t="e">
        <f>SUM(I171:I173)</f>
        <v>#REF!</v>
      </c>
      <c r="J170" s="675" t="e">
        <f t="shared" ref="J170:J177" si="30">SUM(L170:O170)</f>
        <v>#REF!</v>
      </c>
      <c r="K170" s="676"/>
      <c r="L170" s="676"/>
      <c r="M170" s="677" t="e">
        <f>SUM(M171:M173)</f>
        <v>#REF!</v>
      </c>
      <c r="N170" s="677" t="e">
        <f>SUM(N171:N173)</f>
        <v>#REF!</v>
      </c>
      <c r="O170" s="678" t="e">
        <f>SUM(O171:O173)</f>
        <v>#REF!</v>
      </c>
    </row>
    <row r="171" spans="1:15" ht="12.75">
      <c r="B171" s="40" t="s">
        <v>144</v>
      </c>
      <c r="C171" s="41" t="s">
        <v>145</v>
      </c>
      <c r="D171" s="42" t="e">
        <f t="shared" si="29"/>
        <v>#REF!</v>
      </c>
      <c r="E171" s="43"/>
      <c r="F171" s="44"/>
      <c r="G171" s="45" t="e">
        <f>G31-G49-G61-G73-G85-G97-G78-G109-G121-G54-G66-G90-G102-G114-G126</f>
        <v>#REF!</v>
      </c>
      <c r="H171" s="45" t="e">
        <f>H31-H49-H61-H73-H85-H97-H78-H54-H109-H66-H90-H102-H114-H121-H126</f>
        <v>#REF!</v>
      </c>
      <c r="I171" s="46"/>
      <c r="J171" s="42" t="e">
        <f t="shared" si="30"/>
        <v>#REF!</v>
      </c>
      <c r="K171" s="43"/>
      <c r="L171" s="44"/>
      <c r="M171" s="45" t="e">
        <f>M31-M49-M61-M73-M85-M97-M78-M109-M121-M54-M66-M90-M102-M114-M126</f>
        <v>#REF!</v>
      </c>
      <c r="N171" s="45" t="e">
        <f>N31-N49-N61-N73-N85-N97-N78-N54-N109-N66-N90-N102-N114-N121-N126</f>
        <v>#REF!</v>
      </c>
      <c r="O171" s="46"/>
    </row>
    <row r="172" spans="1:15" ht="12.75">
      <c r="B172" s="47" t="s">
        <v>146</v>
      </c>
      <c r="C172" s="48" t="s">
        <v>6</v>
      </c>
      <c r="D172" s="42" t="e">
        <f t="shared" si="29"/>
        <v>#REF!</v>
      </c>
      <c r="E172" s="43"/>
      <c r="F172" s="44"/>
      <c r="G172" s="49"/>
      <c r="H172" s="45" t="e">
        <f>H32-H50-H62-H74-H86-H98-H110-H55-H67-H79-H91-H103-H115-H122-H127</f>
        <v>#REF!</v>
      </c>
      <c r="I172" s="50">
        <f>I32-I50-I55-I62-I67-I74-I79-I86-I91-I98-I103-I110-I115-I122-I127</f>
        <v>0</v>
      </c>
      <c r="J172" s="42" t="e">
        <f t="shared" si="30"/>
        <v>#REF!</v>
      </c>
      <c r="K172" s="43"/>
      <c r="L172" s="44"/>
      <c r="M172" s="49"/>
      <c r="N172" s="45" t="e">
        <f>N32-N50-N62-N74-N86-N98-N110-N55-N67-N79-N91-N103-N115-N122-N127</f>
        <v>#REF!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 t="e">
        <f t="shared" si="29"/>
        <v>#REF!</v>
      </c>
      <c r="E173" s="54"/>
      <c r="F173" s="55"/>
      <c r="G173" s="56"/>
      <c r="H173" s="56"/>
      <c r="I173" s="57" t="e">
        <f>I33-I51-I87-I75-I99-I111-I56-I63-I68-I80-I92-I104-I116-I123-I128</f>
        <v>#REF!</v>
      </c>
      <c r="J173" s="53" t="e">
        <f t="shared" si="30"/>
        <v>#REF!</v>
      </c>
      <c r="K173" s="54"/>
      <c r="L173" s="55"/>
      <c r="M173" s="56"/>
      <c r="N173" s="56"/>
      <c r="O173" s="57" t="e">
        <f>O33-O51-O87-O75-O99-O111-O56-O63-O68-O80-O92-O104-O116-O123-O128</f>
        <v>#REF!</v>
      </c>
    </row>
    <row r="174" spans="1:15" ht="12.75">
      <c r="B174" s="58" t="s">
        <v>14</v>
      </c>
      <c r="C174" s="39" t="s">
        <v>148</v>
      </c>
      <c r="D174" s="110" t="e">
        <f t="shared" si="29"/>
        <v>#REF!</v>
      </c>
      <c r="E174" s="111"/>
      <c r="F174" s="111" t="e">
        <f>F28+E28</f>
        <v>#REF!</v>
      </c>
      <c r="G174" s="112" t="e">
        <f>G28</f>
        <v>#REF!</v>
      </c>
      <c r="H174" s="112" t="e">
        <f>H28</f>
        <v>#REF!</v>
      </c>
      <c r="I174" s="113">
        <f>I28</f>
        <v>0</v>
      </c>
      <c r="J174" s="110" t="e">
        <f t="shared" si="30"/>
        <v>#REF!</v>
      </c>
      <c r="K174" s="111"/>
      <c r="L174" s="111" t="e">
        <f>L28+K28</f>
        <v>#REF!</v>
      </c>
      <c r="M174" s="112" t="e">
        <f>M28</f>
        <v>#REF!</v>
      </c>
      <c r="N174" s="112" t="e">
        <f>N28</f>
        <v>#REF!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 t="e">
        <f t="shared" si="29"/>
        <v>#REF!</v>
      </c>
      <c r="E175" s="124"/>
      <c r="F175" s="125" t="e">
        <f>F23+F24+F25+E23+E24+E25</f>
        <v>#REF!</v>
      </c>
      <c r="G175" s="125" t="e">
        <f>G23+G24+G25</f>
        <v>#REF!</v>
      </c>
      <c r="H175" s="125" t="e">
        <f>H23+H24+H25</f>
        <v>#REF!</v>
      </c>
      <c r="I175" s="126" t="e">
        <f>I23+I24+I25</f>
        <v>#REF!</v>
      </c>
      <c r="J175" s="123" t="e">
        <f t="shared" si="30"/>
        <v>#REF!</v>
      </c>
      <c r="K175" s="124"/>
      <c r="L175" s="125" t="e">
        <f>L23+L24+L25+K23+K24+K25</f>
        <v>#REF!</v>
      </c>
      <c r="M175" s="125" t="e">
        <f>M23+M24+M25</f>
        <v>#REF!</v>
      </c>
      <c r="N175" s="125" t="e">
        <f>N23+N24+N25</f>
        <v>#REF!</v>
      </c>
      <c r="O175" s="126" t="e">
        <f>O23+O24+O25</f>
        <v>#REF!</v>
      </c>
    </row>
    <row r="176" spans="1:15" ht="13.5" thickBot="1">
      <c r="B176" s="61" t="s">
        <v>20</v>
      </c>
      <c r="C176" s="62" t="s">
        <v>150</v>
      </c>
      <c r="D176" s="129" t="e">
        <f t="shared" si="29"/>
        <v>#REF!</v>
      </c>
      <c r="E176" s="130"/>
      <c r="F176" s="131">
        <f>F29+E29</f>
        <v>0</v>
      </c>
      <c r="G176" s="131" t="e">
        <f>G29</f>
        <v>#REF!</v>
      </c>
      <c r="H176" s="131">
        <f>H29</f>
        <v>0</v>
      </c>
      <c r="I176" s="132">
        <f>I29</f>
        <v>0</v>
      </c>
      <c r="J176" s="129" t="e">
        <f t="shared" si="30"/>
        <v>#REF!</v>
      </c>
      <c r="K176" s="130"/>
      <c r="L176" s="131">
        <f>L29+K29</f>
        <v>0</v>
      </c>
      <c r="M176" s="131" t="e">
        <f>M29</f>
        <v>#REF!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 t="e">
        <f t="shared" si="29"/>
        <v>#REF!</v>
      </c>
      <c r="E177" s="136"/>
      <c r="F177" s="136" t="e">
        <f>F169-F180-G171-H171</f>
        <v>#REF!</v>
      </c>
      <c r="G177" s="136" t="e">
        <f>G169-G180-H172-I172</f>
        <v>#REF!</v>
      </c>
      <c r="H177" s="136" t="e">
        <f>H169-H180-I173</f>
        <v>#REF!</v>
      </c>
      <c r="I177" s="137" t="e">
        <f>I169-I180</f>
        <v>#REF!</v>
      </c>
      <c r="J177" s="135" t="e">
        <f t="shared" si="30"/>
        <v>#REF!</v>
      </c>
      <c r="K177" s="136"/>
      <c r="L177" s="136" t="e">
        <f>L169-L180-M171-N171</f>
        <v>#REF!</v>
      </c>
      <c r="M177" s="136" t="e">
        <f>M169-M180-N172-O172</f>
        <v>#REF!</v>
      </c>
      <c r="N177" s="136" t="e">
        <f>N169-N180-O173</f>
        <v>#REF!</v>
      </c>
      <c r="O177" s="137" t="e">
        <f>O169-O180</f>
        <v>#REF!</v>
      </c>
    </row>
    <row r="178" spans="1:15" ht="13.5" thickBot="1">
      <c r="B178" s="64"/>
      <c r="C178" s="65" t="s">
        <v>152</v>
      </c>
      <c r="D178" s="441" t="e">
        <f>IF(D169=0,0,D177/D169*100)</f>
        <v>#REF!</v>
      </c>
      <c r="E178" s="140"/>
      <c r="F178" s="441" t="e">
        <f t="shared" ref="F178:I178" si="31">IF(F169=0,0,F177/F169*100)</f>
        <v>#REF!</v>
      </c>
      <c r="G178" s="441" t="e">
        <f t="shared" si="31"/>
        <v>#REF!</v>
      </c>
      <c r="H178" s="441" t="e">
        <f t="shared" si="31"/>
        <v>#REF!</v>
      </c>
      <c r="I178" s="441" t="e">
        <f t="shared" si="31"/>
        <v>#REF!</v>
      </c>
      <c r="J178" s="441" t="e">
        <f>IF(J169=0,0,J177/J169*100)</f>
        <v>#REF!</v>
      </c>
      <c r="K178" s="140"/>
      <c r="L178" s="441" t="e">
        <f t="shared" ref="L178:O178" si="32">IF(L169=0,0,L177/L169*100)</f>
        <v>#REF!</v>
      </c>
      <c r="M178" s="441" t="e">
        <f t="shared" si="32"/>
        <v>#REF!</v>
      </c>
      <c r="N178" s="441" t="e">
        <f t="shared" si="32"/>
        <v>#REF!</v>
      </c>
      <c r="O178" s="441" t="e">
        <f t="shared" si="32"/>
        <v>#REF!</v>
      </c>
    </row>
    <row r="179" spans="1:15" ht="26.25" thickBot="1">
      <c r="B179" s="66" t="s">
        <v>38</v>
      </c>
      <c r="C179" s="67" t="s">
        <v>153</v>
      </c>
      <c r="D179" s="143">
        <f t="shared" ref="D179:D184" si="33">SUM(F179:I179)</f>
        <v>0</v>
      </c>
      <c r="E179" s="144"/>
      <c r="F179" s="144"/>
      <c r="G179" s="145"/>
      <c r="H179" s="145"/>
      <c r="I179" s="146"/>
      <c r="J179" s="143">
        <f t="shared" ref="J179:J184" si="34">SUM(L179:O179)</f>
        <v>0</v>
      </c>
      <c r="K179" s="144"/>
      <c r="L179" s="144"/>
      <c r="M179" s="145"/>
      <c r="N179" s="145"/>
      <c r="O179" s="146"/>
    </row>
    <row r="180" spans="1:15" s="83" customFormat="1" ht="13.5" thickBot="1">
      <c r="B180" s="147" t="s">
        <v>52</v>
      </c>
      <c r="C180" s="148" t="s">
        <v>154</v>
      </c>
      <c r="D180" s="143" t="e">
        <f t="shared" si="33"/>
        <v>#REF!</v>
      </c>
      <c r="E180" s="144"/>
      <c r="F180" s="682" t="e">
        <f>F143+E143</f>
        <v>#REF!</v>
      </c>
      <c r="G180" s="682" t="e">
        <f>G143+G194</f>
        <v>#REF!</v>
      </c>
      <c r="H180" s="682" t="e">
        <f>H143+H194</f>
        <v>#REF!</v>
      </c>
      <c r="I180" s="741" t="e">
        <f>I143+I194</f>
        <v>#REF!</v>
      </c>
      <c r="J180" s="143" t="e">
        <f t="shared" si="34"/>
        <v>#REF!</v>
      </c>
      <c r="K180" s="144"/>
      <c r="L180" s="682" t="e">
        <f>L143+K143</f>
        <v>#REF!</v>
      </c>
      <c r="M180" s="682" t="e">
        <f>M143+M194</f>
        <v>#REF!</v>
      </c>
      <c r="N180" s="682" t="e">
        <f>N143+N194</f>
        <v>#REF!</v>
      </c>
      <c r="O180" s="741" t="e">
        <f>O143+O194</f>
        <v>#REF!</v>
      </c>
    </row>
    <row r="181" spans="1:15" ht="12.75">
      <c r="B181" s="70" t="s">
        <v>54</v>
      </c>
      <c r="C181" s="71" t="s">
        <v>155</v>
      </c>
      <c r="D181" s="151">
        <f t="shared" si="33"/>
        <v>0</v>
      </c>
      <c r="E181" s="152"/>
      <c r="F181" s="152"/>
      <c r="G181" s="153"/>
      <c r="H181" s="153"/>
      <c r="I181" s="154"/>
      <c r="J181" s="151">
        <f t="shared" si="34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3"/>
        <v>0</v>
      </c>
      <c r="E182" s="158"/>
      <c r="F182" s="159"/>
      <c r="G182" s="159"/>
      <c r="H182" s="159"/>
      <c r="I182" s="160"/>
      <c r="J182" s="157">
        <f t="shared" si="34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3"/>
        <v>0</v>
      </c>
      <c r="E183" s="164"/>
      <c r="F183" s="164"/>
      <c r="G183" s="165"/>
      <c r="H183" s="165"/>
      <c r="I183" s="166"/>
      <c r="J183" s="163">
        <f t="shared" si="34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3"/>
        <v>0</v>
      </c>
      <c r="E184" s="111"/>
      <c r="F184" s="111"/>
      <c r="G184" s="112"/>
      <c r="H184" s="112"/>
      <c r="I184" s="113"/>
      <c r="J184" s="110">
        <f t="shared" si="34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8" spans="1:15" ht="12.75" customHeight="1">
      <c r="A188" s="832"/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523"/>
      <c r="B194" s="524"/>
      <c r="C194" s="523" t="s">
        <v>193</v>
      </c>
      <c r="D194" s="523"/>
      <c r="E194" s="523"/>
      <c r="F194" s="483"/>
      <c r="G194" s="513" t="e">
        <f>'9 месяцев'!G194+#REF!</f>
        <v>#REF!</v>
      </c>
      <c r="H194" s="513" t="e">
        <f>'9 месяцев'!H194+#REF!</f>
        <v>#REF!</v>
      </c>
      <c r="I194" s="513" t="e">
        <f>'9 месяцев'!I194+#REF!</f>
        <v>#REF!</v>
      </c>
      <c r="J194" s="483"/>
      <c r="K194" s="483"/>
      <c r="L194" s="483"/>
      <c r="M194" s="483"/>
      <c r="N194" s="513" t="e">
        <f>'9 месяцев'!N194+#REF!</f>
        <v>#REF!</v>
      </c>
      <c r="O194" s="513" t="e">
        <f>'9 месяцев'!O194+#REF!</f>
        <v>#REF!</v>
      </c>
    </row>
    <row r="195" spans="1:15">
      <c r="A195" s="523"/>
      <c r="B195" s="524"/>
      <c r="C195" s="523" t="s">
        <v>196</v>
      </c>
      <c r="D195" s="523"/>
      <c r="E195" s="523"/>
      <c r="F195" s="513" t="e">
        <f>'9 месяцев'!F195+#REF!</f>
        <v>#REF!</v>
      </c>
      <c r="G195" s="483"/>
      <c r="H195" s="483"/>
      <c r="I195" s="483"/>
      <c r="J195" s="483"/>
      <c r="K195" s="483"/>
      <c r="L195" s="513" t="e">
        <f>'9 месяцев'!L195+#REF!</f>
        <v>#REF!</v>
      </c>
      <c r="M195" s="483"/>
      <c r="N195" s="483"/>
      <c r="O195" s="483"/>
    </row>
    <row r="198" spans="1:15">
      <c r="L198" s="321"/>
      <c r="M198" s="321"/>
      <c r="N198" s="321"/>
      <c r="O198" s="321"/>
    </row>
  </sheetData>
  <mergeCells count="25">
    <mergeCell ref="O4:O5"/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I4:I5"/>
    <mergeCell ref="J4:J5"/>
    <mergeCell ref="K4:L4"/>
    <mergeCell ref="M4:M5"/>
    <mergeCell ref="N4:N5"/>
    <mergeCell ref="D166:I166"/>
    <mergeCell ref="J166:O166"/>
    <mergeCell ref="A188:O188"/>
    <mergeCell ref="A6:A29"/>
    <mergeCell ref="A30:A43"/>
    <mergeCell ref="A46:A150"/>
    <mergeCell ref="A151:A163"/>
    <mergeCell ref="B166:B167"/>
    <mergeCell ref="C166:C167"/>
  </mergeCells>
  <pageMargins left="0.86614173228346458" right="0.27559055118110237" top="0.74803149606299213" bottom="0.55118110236220474" header="0.51181102362204722" footer="0.51181102362204722"/>
  <pageSetup paperSize="9" scale="64" firstPageNumber="0" orientation="landscape" horizontalDpi="300" verticalDpi="300" r:id="rId1"/>
  <headerFooter alignWithMargins="0"/>
  <rowBreaks count="2" manualBreakCount="2">
    <brk id="57" max="14" man="1"/>
    <brk id="164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198"/>
  <sheetViews>
    <sheetView view="pageBreakPreview" zoomScale="90" zoomScaleSheetLayoutView="90" workbookViewId="0">
      <pane xSplit="3" ySplit="5" topLeftCell="D45" activePane="bottomRight" state="frozen"/>
      <selection pane="topRight" activeCell="D1" sqref="D1"/>
      <selection pane="bottomLeft" activeCell="A63" sqref="A63"/>
      <selection pane="bottomRight" activeCell="N57" sqref="N57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.5703125" style="1" customWidth="1"/>
    <col min="6" max="6" width="12.28515625" style="1" customWidth="1"/>
    <col min="7" max="7" width="11.140625" style="1" customWidth="1"/>
    <col min="8" max="8" width="11.42578125" style="1" customWidth="1"/>
    <col min="9" max="9" width="11.85546875" style="1" customWidth="1"/>
    <col min="10" max="10" width="12.42578125" style="1" customWidth="1"/>
    <col min="11" max="11" width="11.140625" style="1" customWidth="1"/>
    <col min="12" max="12" width="11.28515625" style="1" customWidth="1"/>
    <col min="13" max="13" width="10.85546875" style="1" customWidth="1"/>
    <col min="14" max="14" width="11" style="1" customWidth="1"/>
    <col min="15" max="15" width="12.7109375" style="1" customWidth="1"/>
    <col min="16" max="16" width="16.140625" style="1" customWidth="1"/>
    <col min="17" max="17" width="10" style="1" customWidth="1"/>
    <col min="18" max="16384" width="9.140625" style="1"/>
  </cols>
  <sheetData>
    <row r="1" spans="1:15" ht="15.75">
      <c r="A1" s="817" t="s">
        <v>232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.75" thickBot="1">
      <c r="A3" s="856"/>
      <c r="B3" s="857" t="s">
        <v>0</v>
      </c>
      <c r="C3" s="858" t="s">
        <v>1</v>
      </c>
      <c r="D3" s="867" t="s">
        <v>2</v>
      </c>
      <c r="E3" s="867"/>
      <c r="F3" s="867"/>
      <c r="G3" s="867"/>
      <c r="H3" s="867"/>
      <c r="I3" s="867"/>
      <c r="J3" s="867" t="s">
        <v>3</v>
      </c>
      <c r="K3" s="867"/>
      <c r="L3" s="867"/>
      <c r="M3" s="867"/>
      <c r="N3" s="867"/>
      <c r="O3" s="867"/>
    </row>
    <row r="4" spans="1:15" s="3" customFormat="1" ht="12.75" customHeight="1" thickTop="1" thickBot="1">
      <c r="A4" s="856"/>
      <c r="B4" s="857"/>
      <c r="C4" s="858"/>
      <c r="D4" s="865" t="s">
        <v>4</v>
      </c>
      <c r="E4" s="866" t="s">
        <v>5</v>
      </c>
      <c r="F4" s="866"/>
      <c r="G4" s="868" t="s">
        <v>6</v>
      </c>
      <c r="H4" s="868" t="s">
        <v>7</v>
      </c>
      <c r="I4" s="864" t="s">
        <v>8</v>
      </c>
      <c r="J4" s="865" t="s">
        <v>4</v>
      </c>
      <c r="K4" s="866" t="s">
        <v>5</v>
      </c>
      <c r="L4" s="866"/>
      <c r="M4" s="868" t="s">
        <v>6</v>
      </c>
      <c r="N4" s="868" t="s">
        <v>7</v>
      </c>
      <c r="O4" s="864" t="s">
        <v>8</v>
      </c>
    </row>
    <row r="5" spans="1:15" s="6" customFormat="1" ht="13.5" thickTop="1" thickBot="1">
      <c r="A5" s="856"/>
      <c r="B5" s="857"/>
      <c r="C5" s="858"/>
      <c r="D5" s="865"/>
      <c r="E5" s="594">
        <v>220</v>
      </c>
      <c r="F5" s="594">
        <v>110</v>
      </c>
      <c r="G5" s="868"/>
      <c r="H5" s="868"/>
      <c r="I5" s="864"/>
      <c r="J5" s="865"/>
      <c r="K5" s="5">
        <v>220</v>
      </c>
      <c r="L5" s="178">
        <v>110</v>
      </c>
      <c r="M5" s="868"/>
      <c r="N5" s="868"/>
      <c r="O5" s="864"/>
    </row>
    <row r="6" spans="1:15" ht="13.5" thickTop="1" thickBot="1">
      <c r="A6" s="862" t="s">
        <v>9</v>
      </c>
      <c r="B6" s="179" t="s">
        <v>10</v>
      </c>
      <c r="C6" s="179" t="s">
        <v>11</v>
      </c>
      <c r="D6" s="180" t="e">
        <f t="shared" ref="D6:O6" si="0">SUM(D7:D9,D12,D14)</f>
        <v>#REF!</v>
      </c>
      <c r="E6" s="181" t="e">
        <f t="shared" si="0"/>
        <v>#REF!</v>
      </c>
      <c r="F6" s="181" t="e">
        <f t="shared" si="0"/>
        <v>#REF!</v>
      </c>
      <c r="G6" s="181" t="e">
        <f t="shared" si="0"/>
        <v>#REF!</v>
      </c>
      <c r="H6" s="181" t="e">
        <f t="shared" si="0"/>
        <v>#REF!</v>
      </c>
      <c r="I6" s="181" t="e">
        <f t="shared" si="0"/>
        <v>#REF!</v>
      </c>
      <c r="J6" s="180" t="e">
        <f t="shared" si="0"/>
        <v>#REF!</v>
      </c>
      <c r="K6" s="181">
        <f t="shared" si="0"/>
        <v>0</v>
      </c>
      <c r="L6" s="181" t="e">
        <f t="shared" si="0"/>
        <v>#REF!</v>
      </c>
      <c r="M6" s="181" t="e">
        <f t="shared" si="0"/>
        <v>#REF!</v>
      </c>
      <c r="N6" s="181" t="e">
        <f t="shared" si="0"/>
        <v>#REF!</v>
      </c>
      <c r="O6" s="181" t="e">
        <f t="shared" si="0"/>
        <v>#REF!</v>
      </c>
    </row>
    <row r="7" spans="1:15" ht="13.5" thickTop="1" thickBot="1">
      <c r="A7" s="862"/>
      <c r="B7" s="182" t="s">
        <v>12</v>
      </c>
      <c r="C7" s="182" t="s">
        <v>13</v>
      </c>
      <c r="D7" s="183">
        <f>SUM(E7:I7)</f>
        <v>0</v>
      </c>
      <c r="E7" s="235"/>
      <c r="F7" s="235"/>
      <c r="G7" s="235"/>
      <c r="H7" s="235"/>
      <c r="I7" s="235"/>
      <c r="J7" s="183">
        <f>SUM(K7:O7)</f>
        <v>0</v>
      </c>
      <c r="K7" s="235"/>
      <c r="L7" s="235"/>
      <c r="M7" s="235"/>
      <c r="N7" s="235"/>
      <c r="O7" s="235"/>
    </row>
    <row r="8" spans="1:15" ht="13.5" thickTop="1" thickBot="1">
      <c r="A8" s="862"/>
      <c r="B8" s="182" t="s">
        <v>14</v>
      </c>
      <c r="C8" s="182" t="s">
        <v>15</v>
      </c>
      <c r="D8" s="183" t="e">
        <f>SUM(E8:I8)</f>
        <v>#REF!</v>
      </c>
      <c r="E8" s="184" t="e">
        <f>'10 месяцев'!E8+#REF!</f>
        <v>#REF!</v>
      </c>
      <c r="F8" s="184" t="e">
        <f>'10 месяцев'!F8+#REF!</f>
        <v>#REF!</v>
      </c>
      <c r="G8" s="184" t="e">
        <f>'10 месяцев'!G8+#REF!</f>
        <v>#REF!</v>
      </c>
      <c r="H8" s="184" t="e">
        <f>'10 месяцев'!H8+#REF!</f>
        <v>#REF!</v>
      </c>
      <c r="I8" s="184" t="e">
        <f>'10 месяцев'!I8+#REF!</f>
        <v>#REF!</v>
      </c>
      <c r="J8" s="183" t="e">
        <f>SUM(K8:O8)</f>
        <v>#REF!</v>
      </c>
      <c r="K8" s="184"/>
      <c r="L8" s="338" t="e">
        <f>'10 месяцев'!L8+#REF!</f>
        <v>#REF!</v>
      </c>
      <c r="M8" s="338" t="e">
        <f>'10 месяцев'!M8+#REF!</f>
        <v>#REF!</v>
      </c>
      <c r="N8" s="338" t="e">
        <f>'10 месяцев'!N8+#REF!</f>
        <v>#REF!</v>
      </c>
      <c r="O8" s="338" t="e">
        <f>'10 месяцев'!O8+#REF!</f>
        <v>#REF!</v>
      </c>
    </row>
    <row r="9" spans="1:15" ht="13.5" thickTop="1" thickBot="1">
      <c r="A9" s="862"/>
      <c r="B9" s="182" t="s">
        <v>16</v>
      </c>
      <c r="C9" s="182" t="s">
        <v>17</v>
      </c>
      <c r="D9" s="183" t="e">
        <f t="shared" ref="D9:O9" si="1">SUM(D10:D11)</f>
        <v>#REF!</v>
      </c>
      <c r="E9" s="185">
        <f t="shared" si="1"/>
        <v>0</v>
      </c>
      <c r="F9" s="185" t="e">
        <f t="shared" si="1"/>
        <v>#REF!</v>
      </c>
      <c r="G9" s="185">
        <f t="shared" si="1"/>
        <v>0</v>
      </c>
      <c r="H9" s="185">
        <f t="shared" si="1"/>
        <v>0</v>
      </c>
      <c r="I9" s="185">
        <f t="shared" si="1"/>
        <v>0</v>
      </c>
      <c r="J9" s="183" t="e">
        <f t="shared" si="1"/>
        <v>#REF!</v>
      </c>
      <c r="K9" s="185">
        <f t="shared" si="1"/>
        <v>0</v>
      </c>
      <c r="L9" s="185" t="e">
        <f t="shared" si="1"/>
        <v>#REF!</v>
      </c>
      <c r="M9" s="185">
        <f t="shared" si="1"/>
        <v>0</v>
      </c>
      <c r="N9" s="185">
        <f t="shared" si="1"/>
        <v>0</v>
      </c>
      <c r="O9" s="185">
        <f t="shared" si="1"/>
        <v>0</v>
      </c>
    </row>
    <row r="10" spans="1:15" ht="13.5" thickTop="1" thickBot="1">
      <c r="A10" s="862"/>
      <c r="B10" s="186" t="s">
        <v>18</v>
      </c>
      <c r="C10" s="187" t="s">
        <v>192</v>
      </c>
      <c r="D10" s="188" t="e">
        <f>SUM(F10:I10)</f>
        <v>#REF!</v>
      </c>
      <c r="E10" s="235"/>
      <c r="F10" s="184" t="e">
        <f>'10 месяцев'!F10+#REF!</f>
        <v>#REF!</v>
      </c>
      <c r="G10" s="235"/>
      <c r="H10" s="235"/>
      <c r="I10" s="235"/>
      <c r="J10" s="188" t="e">
        <f>SUM(L10:O10)</f>
        <v>#REF!</v>
      </c>
      <c r="K10" s="235"/>
      <c r="L10" s="338" t="e">
        <f>'10 месяцев'!L10+#REF!</f>
        <v>#REF!</v>
      </c>
      <c r="M10" s="235"/>
      <c r="N10" s="235"/>
      <c r="O10" s="235"/>
    </row>
    <row r="11" spans="1:15" ht="13.5" thickTop="1" thickBot="1">
      <c r="A11" s="862"/>
      <c r="B11" s="186" t="s">
        <v>19</v>
      </c>
      <c r="C11" s="187" t="s">
        <v>191</v>
      </c>
      <c r="D11" s="188" t="e">
        <f>SUM(F11:I11)</f>
        <v>#REF!</v>
      </c>
      <c r="E11" s="235"/>
      <c r="F11" s="184" t="e">
        <f>'10 месяцев'!F11+#REF!</f>
        <v>#REF!</v>
      </c>
      <c r="G11" s="235"/>
      <c r="H11" s="235"/>
      <c r="I11" s="235"/>
      <c r="J11" s="188" t="e">
        <f>SUM(L11:O11)</f>
        <v>#REF!</v>
      </c>
      <c r="K11" s="235"/>
      <c r="L11" s="338" t="e">
        <f>'10 месяцев'!L11+#REF!</f>
        <v>#REF!</v>
      </c>
      <c r="M11" s="235"/>
      <c r="N11" s="235"/>
      <c r="O11" s="235"/>
    </row>
    <row r="12" spans="1:15" ht="13.5" thickTop="1" thickBot="1">
      <c r="A12" s="862"/>
      <c r="B12" s="182" t="s">
        <v>20</v>
      </c>
      <c r="C12" s="182" t="s">
        <v>21</v>
      </c>
      <c r="D12" s="183" t="e">
        <f>SUM(E12:I12)</f>
        <v>#REF!</v>
      </c>
      <c r="E12" s="235"/>
      <c r="F12" s="184" t="e">
        <f>'10 месяцев'!F12+#REF!</f>
        <v>#REF!</v>
      </c>
      <c r="G12" s="184" t="e">
        <f>'10 месяцев'!G12+#REF!</f>
        <v>#REF!</v>
      </c>
      <c r="H12" s="184" t="e">
        <f>'10 месяцев'!H12+#REF!</f>
        <v>#REF!</v>
      </c>
      <c r="I12" s="235">
        <v>0</v>
      </c>
      <c r="J12" s="183" t="e">
        <f>SUM(K12:O12)</f>
        <v>#REF!</v>
      </c>
      <c r="K12" s="235"/>
      <c r="L12" s="338" t="e">
        <f>'10 месяцев'!L12+#REF!</f>
        <v>#REF!</v>
      </c>
      <c r="M12" s="338" t="e">
        <f>'10 месяцев'!M12+#REF!</f>
        <v>#REF!</v>
      </c>
      <c r="N12" s="338" t="e">
        <f>'10 месяцев'!N12+#REF!</f>
        <v>#REF!</v>
      </c>
      <c r="O12" s="235"/>
    </row>
    <row r="13" spans="1:15" ht="13.5" thickTop="1" thickBot="1">
      <c r="A13" s="862"/>
      <c r="B13" s="186" t="s">
        <v>22</v>
      </c>
      <c r="C13" s="187" t="s">
        <v>23</v>
      </c>
      <c r="D13" s="183">
        <f>SUM(E13:I13)</f>
        <v>0</v>
      </c>
      <c r="E13" s="235"/>
      <c r="F13" s="235"/>
      <c r="G13" s="235"/>
      <c r="H13" s="235"/>
      <c r="I13" s="235">
        <v>0</v>
      </c>
      <c r="J13" s="183">
        <f>SUM(K13:O13)</f>
        <v>0</v>
      </c>
      <c r="K13" s="235"/>
      <c r="L13" s="235"/>
      <c r="M13" s="235"/>
      <c r="N13" s="235"/>
      <c r="O13" s="235"/>
    </row>
    <row r="14" spans="1:15" ht="13.5" thickTop="1" thickBot="1">
      <c r="A14" s="862"/>
      <c r="B14" s="182" t="s">
        <v>24</v>
      </c>
      <c r="C14" s="182" t="s">
        <v>25</v>
      </c>
      <c r="D14" s="183" t="e">
        <f>SUM(E14:I14)</f>
        <v>#REF!</v>
      </c>
      <c r="E14" s="235"/>
      <c r="F14" s="235"/>
      <c r="G14" s="184" t="e">
        <f>'10 месяцев'!G14+#REF!</f>
        <v>#REF!</v>
      </c>
      <c r="H14" s="235"/>
      <c r="I14" s="235">
        <v>0</v>
      </c>
      <c r="J14" s="183" t="e">
        <f>SUM(K14:O14)</f>
        <v>#REF!</v>
      </c>
      <c r="K14" s="235"/>
      <c r="L14" s="235"/>
      <c r="M14" s="338" t="e">
        <f>'10 месяцев'!M14+#REF!</f>
        <v>#REF!</v>
      </c>
      <c r="N14" s="235"/>
      <c r="O14" s="235"/>
    </row>
    <row r="15" spans="1:15" ht="13.5" thickTop="1" thickBot="1">
      <c r="A15" s="862"/>
      <c r="B15" s="179" t="s">
        <v>26</v>
      </c>
      <c r="C15" s="179" t="s">
        <v>27</v>
      </c>
      <c r="D15" s="180" t="e">
        <f t="shared" ref="D15:O15" si="2">SUM(D16:D18,D21)</f>
        <v>#REF!</v>
      </c>
      <c r="E15" s="189" t="e">
        <f t="shared" si="2"/>
        <v>#REF!</v>
      </c>
      <c r="F15" s="189" t="e">
        <f t="shared" si="2"/>
        <v>#REF!</v>
      </c>
      <c r="G15" s="189" t="e">
        <f t="shared" si="2"/>
        <v>#REF!</v>
      </c>
      <c r="H15" s="189" t="e">
        <f t="shared" si="2"/>
        <v>#REF!</v>
      </c>
      <c r="I15" s="189" t="e">
        <f t="shared" si="2"/>
        <v>#REF!</v>
      </c>
      <c r="J15" s="180" t="e">
        <f t="shared" si="2"/>
        <v>#REF!</v>
      </c>
      <c r="K15" s="189">
        <f t="shared" si="2"/>
        <v>0</v>
      </c>
      <c r="L15" s="189" t="e">
        <f t="shared" si="2"/>
        <v>#REF!</v>
      </c>
      <c r="M15" s="189" t="e">
        <f t="shared" si="2"/>
        <v>#REF!</v>
      </c>
      <c r="N15" s="189" t="e">
        <f t="shared" si="2"/>
        <v>#REF!</v>
      </c>
      <c r="O15" s="189" t="e">
        <f t="shared" si="2"/>
        <v>#REF!</v>
      </c>
    </row>
    <row r="16" spans="1:15" ht="13.5" thickTop="1" thickBot="1">
      <c r="A16" s="862"/>
      <c r="B16" s="182" t="s">
        <v>28</v>
      </c>
      <c r="C16" s="182" t="s">
        <v>29</v>
      </c>
      <c r="D16" s="183">
        <f>SUM(E16:I16)</f>
        <v>0</v>
      </c>
      <c r="E16" s="235"/>
      <c r="F16" s="235"/>
      <c r="G16" s="235"/>
      <c r="H16" s="235"/>
      <c r="I16" s="235">
        <v>0</v>
      </c>
      <c r="J16" s="183">
        <f>SUM(K16:O16)</f>
        <v>0</v>
      </c>
      <c r="K16" s="235"/>
      <c r="L16" s="235"/>
      <c r="M16" s="235"/>
      <c r="N16" s="235"/>
      <c r="O16" s="235"/>
    </row>
    <row r="17" spans="1:15" ht="13.5" thickTop="1" thickBot="1">
      <c r="A17" s="862"/>
      <c r="B17" s="182" t="s">
        <v>30</v>
      </c>
      <c r="C17" s="182" t="s">
        <v>31</v>
      </c>
      <c r="D17" s="183" t="e">
        <f>SUM(E17:I17)</f>
        <v>#REF!</v>
      </c>
      <c r="E17" s="184" t="e">
        <f>'10 месяцев'!E17+#REF!</f>
        <v>#REF!</v>
      </c>
      <c r="F17" s="184" t="e">
        <f>'10 месяцев'!F17+#REF!</f>
        <v>#REF!</v>
      </c>
      <c r="G17" s="184" t="e">
        <f>'10 месяцев'!G17+#REF!</f>
        <v>#REF!</v>
      </c>
      <c r="H17" s="184" t="e">
        <f>'10 месяцев'!H17+#REF!</f>
        <v>#REF!</v>
      </c>
      <c r="I17" s="184" t="e">
        <f>'10 месяцев'!I17+#REF!</f>
        <v>#REF!</v>
      </c>
      <c r="J17" s="183" t="e">
        <f>SUM(K17:O17)</f>
        <v>#REF!</v>
      </c>
      <c r="K17" s="184"/>
      <c r="L17" s="338" t="e">
        <f>'10 месяцев'!L17+#REF!</f>
        <v>#REF!</v>
      </c>
      <c r="M17" s="338" t="e">
        <f>'10 месяцев'!M17+#REF!</f>
        <v>#REF!</v>
      </c>
      <c r="N17" s="338" t="e">
        <f>'10 месяцев'!N17+#REF!</f>
        <v>#REF!</v>
      </c>
      <c r="O17" s="338" t="e">
        <f>'10 месяцев'!O17+#REF!</f>
        <v>#REF!</v>
      </c>
    </row>
    <row r="18" spans="1:15" ht="13.5" thickTop="1" thickBot="1">
      <c r="A18" s="862"/>
      <c r="B18" s="182" t="s">
        <v>32</v>
      </c>
      <c r="C18" s="182" t="s">
        <v>33</v>
      </c>
      <c r="D18" s="183" t="e">
        <f t="shared" ref="D18:O18" si="3">SUM(D19:D20)</f>
        <v>#REF!</v>
      </c>
      <c r="E18" s="185">
        <f t="shared" si="3"/>
        <v>0</v>
      </c>
      <c r="F18" s="185" t="e">
        <f t="shared" si="3"/>
        <v>#REF!</v>
      </c>
      <c r="G18" s="185" t="e">
        <f t="shared" si="3"/>
        <v>#REF!</v>
      </c>
      <c r="H18" s="185">
        <f t="shared" si="3"/>
        <v>0</v>
      </c>
      <c r="I18" s="185">
        <f t="shared" si="3"/>
        <v>0</v>
      </c>
      <c r="J18" s="183" t="e">
        <f t="shared" si="3"/>
        <v>#REF!</v>
      </c>
      <c r="K18" s="185">
        <f t="shared" si="3"/>
        <v>0</v>
      </c>
      <c r="L18" s="185" t="e">
        <f t="shared" si="3"/>
        <v>#REF!</v>
      </c>
      <c r="M18" s="185" t="e">
        <f t="shared" si="3"/>
        <v>#REF!</v>
      </c>
      <c r="N18" s="185">
        <f t="shared" si="3"/>
        <v>0</v>
      </c>
      <c r="O18" s="185">
        <f t="shared" si="3"/>
        <v>0</v>
      </c>
    </row>
    <row r="19" spans="1:15" ht="13.5" thickTop="1" thickBot="1">
      <c r="A19" s="862"/>
      <c r="B19" s="186" t="s">
        <v>34</v>
      </c>
      <c r="C19" s="187" t="s">
        <v>192</v>
      </c>
      <c r="D19" s="188" t="e">
        <f t="shared" ref="D19:D29" si="4">SUM(E19:I19)</f>
        <v>#REF!</v>
      </c>
      <c r="E19" s="235"/>
      <c r="F19" s="184" t="e">
        <f>'10 месяцев'!F19+#REF!</f>
        <v>#REF!</v>
      </c>
      <c r="G19" s="235"/>
      <c r="H19" s="235"/>
      <c r="I19" s="235">
        <v>0</v>
      </c>
      <c r="J19" s="188" t="e">
        <f t="shared" ref="J19:J29" si="5">SUM(K19:O19)</f>
        <v>#REF!</v>
      </c>
      <c r="K19" s="235"/>
      <c r="L19" s="338" t="e">
        <f>'10 месяцев'!L19+#REF!</f>
        <v>#REF!</v>
      </c>
      <c r="M19" s="235"/>
      <c r="N19" s="235"/>
      <c r="O19" s="235"/>
    </row>
    <row r="20" spans="1:15" ht="13.5" thickTop="1" thickBot="1">
      <c r="A20" s="862"/>
      <c r="B20" s="190" t="s">
        <v>35</v>
      </c>
      <c r="C20" s="187" t="s">
        <v>191</v>
      </c>
      <c r="D20" s="188" t="e">
        <f t="shared" si="4"/>
        <v>#REF!</v>
      </c>
      <c r="E20" s="235"/>
      <c r="F20" s="184" t="e">
        <f>'10 месяцев'!F20+#REF!</f>
        <v>#REF!</v>
      </c>
      <c r="G20" s="184" t="e">
        <f>'10 месяцев'!G20+#REF!</f>
        <v>#REF!</v>
      </c>
      <c r="H20" s="235"/>
      <c r="I20" s="235">
        <v>0</v>
      </c>
      <c r="J20" s="188" t="e">
        <f t="shared" si="5"/>
        <v>#REF!</v>
      </c>
      <c r="K20" s="235"/>
      <c r="L20" s="338" t="e">
        <f>'10 месяцев'!L20+#REF!</f>
        <v>#REF!</v>
      </c>
      <c r="M20" s="338" t="e">
        <f>'10 месяцев'!M20+#REF!</f>
        <v>#REF!</v>
      </c>
      <c r="N20" s="235"/>
      <c r="O20" s="235"/>
    </row>
    <row r="21" spans="1:15" ht="13.5" thickTop="1" thickBot="1">
      <c r="A21" s="862"/>
      <c r="B21" s="182" t="s">
        <v>36</v>
      </c>
      <c r="C21" s="182" t="s">
        <v>37</v>
      </c>
      <c r="D21" s="183" t="e">
        <f t="shared" si="4"/>
        <v>#REF!</v>
      </c>
      <c r="E21" s="235"/>
      <c r="F21" s="184" t="e">
        <f>'10 месяцев'!F21+#REF!</f>
        <v>#REF!</v>
      </c>
      <c r="G21" s="184" t="e">
        <f>'10 месяцев'!G21+#REF!</f>
        <v>#REF!</v>
      </c>
      <c r="H21" s="235"/>
      <c r="I21" s="235">
        <v>0</v>
      </c>
      <c r="J21" s="183" t="e">
        <f t="shared" si="5"/>
        <v>#REF!</v>
      </c>
      <c r="K21" s="235"/>
      <c r="L21" s="338" t="e">
        <f>'10 месяцев'!L21+#REF!</f>
        <v>#REF!</v>
      </c>
      <c r="M21" s="338" t="e">
        <f>'10 месяцев'!M21+#REF!</f>
        <v>#REF!</v>
      </c>
      <c r="N21" s="235"/>
      <c r="O21" s="235"/>
    </row>
    <row r="22" spans="1:15" s="17" customFormat="1" ht="13.5" thickTop="1" thickBot="1">
      <c r="A22" s="862"/>
      <c r="B22" s="232" t="s">
        <v>38</v>
      </c>
      <c r="C22" s="232" t="s">
        <v>39</v>
      </c>
      <c r="D22" s="192" t="e">
        <f t="shared" si="4"/>
        <v>#REF!</v>
      </c>
      <c r="E22" s="192" t="e">
        <f>SUM(E23:E25,E28,E29)</f>
        <v>#REF!</v>
      </c>
      <c r="F22" s="192" t="e">
        <f>SUM(F23:F25,F28,F29)</f>
        <v>#REF!</v>
      </c>
      <c r="G22" s="192" t="e">
        <f>SUM(G23:G25,G28,G29)</f>
        <v>#REF!</v>
      </c>
      <c r="H22" s="192" t="e">
        <f>SUM(H23:H25,H28,H29)</f>
        <v>#REF!</v>
      </c>
      <c r="I22" s="192" t="e">
        <f>SUM(I23:I25,I28,I29)</f>
        <v>#REF!</v>
      </c>
      <c r="J22" s="192" t="e">
        <f t="shared" si="5"/>
        <v>#REF!</v>
      </c>
      <c r="K22" s="192">
        <f>SUM(K23:K25,K28,K29)</f>
        <v>0</v>
      </c>
      <c r="L22" s="192" t="e">
        <f>SUM(L23:L25,L28,L29)</f>
        <v>#REF!</v>
      </c>
      <c r="M22" s="192" t="e">
        <f>SUM(M23:M25,M28,M29)</f>
        <v>#REF!</v>
      </c>
      <c r="N22" s="192" t="e">
        <f>SUM(N23:N25,N28,N29)</f>
        <v>#REF!</v>
      </c>
      <c r="O22" s="192" t="e">
        <f>SUM(O23:O25,O28,O29)</f>
        <v>#REF!</v>
      </c>
    </row>
    <row r="23" spans="1:15" ht="13.5" thickTop="1" thickBot="1">
      <c r="A23" s="862"/>
      <c r="B23" s="182" t="s">
        <v>40</v>
      </c>
      <c r="C23" s="182" t="s">
        <v>41</v>
      </c>
      <c r="D23" s="183">
        <f t="shared" si="4"/>
        <v>0</v>
      </c>
      <c r="E23" s="183">
        <f t="shared" ref="E23:I28" si="6">E7-E16</f>
        <v>0</v>
      </c>
      <c r="F23" s="183">
        <f t="shared" si="6"/>
        <v>0</v>
      </c>
      <c r="G23" s="183">
        <f t="shared" si="6"/>
        <v>0</v>
      </c>
      <c r="H23" s="183">
        <f t="shared" si="6"/>
        <v>0</v>
      </c>
      <c r="I23" s="183">
        <f t="shared" si="6"/>
        <v>0</v>
      </c>
      <c r="J23" s="183">
        <f t="shared" si="5"/>
        <v>0</v>
      </c>
      <c r="K23" s="183">
        <f t="shared" ref="K23:O28" si="7">K7-K16</f>
        <v>0</v>
      </c>
      <c r="L23" s="183">
        <f t="shared" si="7"/>
        <v>0</v>
      </c>
      <c r="M23" s="183">
        <f t="shared" si="7"/>
        <v>0</v>
      </c>
      <c r="N23" s="183">
        <f t="shared" si="7"/>
        <v>0</v>
      </c>
      <c r="O23" s="183">
        <f t="shared" si="7"/>
        <v>0</v>
      </c>
    </row>
    <row r="24" spans="1:15" ht="13.5" thickTop="1" thickBot="1">
      <c r="A24" s="862"/>
      <c r="B24" s="182" t="s">
        <v>42</v>
      </c>
      <c r="C24" s="182" t="s">
        <v>43</v>
      </c>
      <c r="D24" s="183" t="e">
        <f t="shared" si="4"/>
        <v>#REF!</v>
      </c>
      <c r="E24" s="183" t="e">
        <f t="shared" si="6"/>
        <v>#REF!</v>
      </c>
      <c r="F24" s="183" t="e">
        <f t="shared" si="6"/>
        <v>#REF!</v>
      </c>
      <c r="G24" s="183" t="e">
        <f t="shared" si="6"/>
        <v>#REF!</v>
      </c>
      <c r="H24" s="183" t="e">
        <f t="shared" si="6"/>
        <v>#REF!</v>
      </c>
      <c r="I24" s="183" t="e">
        <f t="shared" si="6"/>
        <v>#REF!</v>
      </c>
      <c r="J24" s="183" t="e">
        <f t="shared" si="5"/>
        <v>#REF!</v>
      </c>
      <c r="K24" s="183">
        <f t="shared" si="7"/>
        <v>0</v>
      </c>
      <c r="L24" s="183" t="e">
        <f t="shared" si="7"/>
        <v>#REF!</v>
      </c>
      <c r="M24" s="183" t="e">
        <f t="shared" si="7"/>
        <v>#REF!</v>
      </c>
      <c r="N24" s="183" t="e">
        <f t="shared" si="7"/>
        <v>#REF!</v>
      </c>
      <c r="O24" s="183" t="e">
        <f t="shared" si="7"/>
        <v>#REF!</v>
      </c>
    </row>
    <row r="25" spans="1:15" ht="13.5" thickTop="1" thickBot="1">
      <c r="A25" s="862"/>
      <c r="B25" s="182" t="s">
        <v>44</v>
      </c>
      <c r="C25" s="182" t="s">
        <v>45</v>
      </c>
      <c r="D25" s="183" t="e">
        <f t="shared" si="4"/>
        <v>#REF!</v>
      </c>
      <c r="E25" s="183">
        <f t="shared" si="6"/>
        <v>0</v>
      </c>
      <c r="F25" s="183" t="e">
        <f t="shared" si="6"/>
        <v>#REF!</v>
      </c>
      <c r="G25" s="183" t="e">
        <f t="shared" si="6"/>
        <v>#REF!</v>
      </c>
      <c r="H25" s="183">
        <f t="shared" si="6"/>
        <v>0</v>
      </c>
      <c r="I25" s="183">
        <f t="shared" si="6"/>
        <v>0</v>
      </c>
      <c r="J25" s="183" t="e">
        <f t="shared" si="5"/>
        <v>#REF!</v>
      </c>
      <c r="K25" s="183">
        <f t="shared" si="7"/>
        <v>0</v>
      </c>
      <c r="L25" s="183" t="e">
        <f t="shared" si="7"/>
        <v>#REF!</v>
      </c>
      <c r="M25" s="183" t="e">
        <f t="shared" si="7"/>
        <v>#REF!</v>
      </c>
      <c r="N25" s="183">
        <f t="shared" si="7"/>
        <v>0</v>
      </c>
      <c r="O25" s="183">
        <f t="shared" si="7"/>
        <v>0</v>
      </c>
    </row>
    <row r="26" spans="1:15" ht="13.5" thickTop="1" thickBot="1">
      <c r="A26" s="862"/>
      <c r="B26" s="186" t="s">
        <v>46</v>
      </c>
      <c r="C26" s="187" t="s">
        <v>192</v>
      </c>
      <c r="D26" s="183" t="e">
        <f t="shared" si="4"/>
        <v>#REF!</v>
      </c>
      <c r="E26" s="188">
        <f t="shared" si="6"/>
        <v>0</v>
      </c>
      <c r="F26" s="188" t="e">
        <f t="shared" si="6"/>
        <v>#REF!</v>
      </c>
      <c r="G26" s="188">
        <f t="shared" si="6"/>
        <v>0</v>
      </c>
      <c r="H26" s="188">
        <f t="shared" si="6"/>
        <v>0</v>
      </c>
      <c r="I26" s="188">
        <f t="shared" si="6"/>
        <v>0</v>
      </c>
      <c r="J26" s="183" t="e">
        <f t="shared" si="5"/>
        <v>#REF!</v>
      </c>
      <c r="K26" s="188">
        <f t="shared" si="7"/>
        <v>0</v>
      </c>
      <c r="L26" s="188" t="e">
        <f t="shared" si="7"/>
        <v>#REF!</v>
      </c>
      <c r="M26" s="188">
        <f t="shared" si="7"/>
        <v>0</v>
      </c>
      <c r="N26" s="188">
        <f t="shared" si="7"/>
        <v>0</v>
      </c>
      <c r="O26" s="188">
        <f t="shared" si="7"/>
        <v>0</v>
      </c>
    </row>
    <row r="27" spans="1:15" ht="13.5" thickTop="1" thickBot="1">
      <c r="A27" s="862"/>
      <c r="B27" s="186" t="s">
        <v>47</v>
      </c>
      <c r="C27" s="187" t="s">
        <v>191</v>
      </c>
      <c r="D27" s="183" t="e">
        <f t="shared" si="4"/>
        <v>#REF!</v>
      </c>
      <c r="E27" s="188">
        <f t="shared" si="6"/>
        <v>0</v>
      </c>
      <c r="F27" s="188" t="e">
        <f t="shared" si="6"/>
        <v>#REF!</v>
      </c>
      <c r="G27" s="188" t="e">
        <f t="shared" si="6"/>
        <v>#REF!</v>
      </c>
      <c r="H27" s="188">
        <f t="shared" si="6"/>
        <v>0</v>
      </c>
      <c r="I27" s="188">
        <f t="shared" si="6"/>
        <v>0</v>
      </c>
      <c r="J27" s="183" t="e">
        <f t="shared" si="5"/>
        <v>#REF!</v>
      </c>
      <c r="K27" s="188">
        <f t="shared" si="7"/>
        <v>0</v>
      </c>
      <c r="L27" s="188" t="e">
        <f t="shared" si="7"/>
        <v>#REF!</v>
      </c>
      <c r="M27" s="188" t="e">
        <f t="shared" si="7"/>
        <v>#REF!</v>
      </c>
      <c r="N27" s="188">
        <f t="shared" si="7"/>
        <v>0</v>
      </c>
      <c r="O27" s="188">
        <f t="shared" si="7"/>
        <v>0</v>
      </c>
    </row>
    <row r="28" spans="1:15" ht="13.5" thickTop="1" thickBot="1">
      <c r="A28" s="862"/>
      <c r="B28" s="182" t="s">
        <v>48</v>
      </c>
      <c r="C28" s="182" t="s">
        <v>49</v>
      </c>
      <c r="D28" s="183" t="e">
        <f t="shared" si="4"/>
        <v>#REF!</v>
      </c>
      <c r="E28" s="183">
        <f t="shared" si="6"/>
        <v>0</v>
      </c>
      <c r="F28" s="183" t="e">
        <f t="shared" si="6"/>
        <v>#REF!</v>
      </c>
      <c r="G28" s="183" t="e">
        <f t="shared" si="6"/>
        <v>#REF!</v>
      </c>
      <c r="H28" s="183" t="e">
        <f t="shared" si="6"/>
        <v>#REF!</v>
      </c>
      <c r="I28" s="183">
        <f t="shared" si="6"/>
        <v>0</v>
      </c>
      <c r="J28" s="183" t="e">
        <f t="shared" si="5"/>
        <v>#REF!</v>
      </c>
      <c r="K28" s="183">
        <f t="shared" si="7"/>
        <v>0</v>
      </c>
      <c r="L28" s="183" t="e">
        <f t="shared" si="7"/>
        <v>#REF!</v>
      </c>
      <c r="M28" s="183" t="e">
        <f t="shared" si="7"/>
        <v>#REF!</v>
      </c>
      <c r="N28" s="183" t="e">
        <f t="shared" si="7"/>
        <v>#REF!</v>
      </c>
      <c r="O28" s="183">
        <f t="shared" si="7"/>
        <v>0</v>
      </c>
    </row>
    <row r="29" spans="1:15" ht="13.5" thickTop="1" thickBot="1">
      <c r="A29" s="862"/>
      <c r="B29" s="182" t="s">
        <v>50</v>
      </c>
      <c r="C29" s="182" t="s">
        <v>25</v>
      </c>
      <c r="D29" s="183" t="e">
        <f t="shared" si="4"/>
        <v>#REF!</v>
      </c>
      <c r="E29" s="183">
        <f>E14</f>
        <v>0</v>
      </c>
      <c r="F29" s="183">
        <f>F14</f>
        <v>0</v>
      </c>
      <c r="G29" s="183" t="e">
        <f>G14</f>
        <v>#REF!</v>
      </c>
      <c r="H29" s="183">
        <f>H14</f>
        <v>0</v>
      </c>
      <c r="I29" s="183">
        <f>I14</f>
        <v>0</v>
      </c>
      <c r="J29" s="183" t="e">
        <f t="shared" si="5"/>
        <v>#REF!</v>
      </c>
      <c r="K29" s="183">
        <f>K14</f>
        <v>0</v>
      </c>
      <c r="L29" s="183">
        <f>L14</f>
        <v>0</v>
      </c>
      <c r="M29" s="183" t="e">
        <f>M14</f>
        <v>#REF!</v>
      </c>
      <c r="N29" s="183">
        <f>N14</f>
        <v>0</v>
      </c>
      <c r="O29" s="183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180" t="e">
        <f>SUM(F30:I30)</f>
        <v>#REF!</v>
      </c>
      <c r="E30" s="180"/>
      <c r="F30" s="180">
        <f>SUM(F31:F33)</f>
        <v>0</v>
      </c>
      <c r="G30" s="180" t="e">
        <f>SUM(G31:G33)</f>
        <v>#REF!</v>
      </c>
      <c r="H30" s="180" t="e">
        <f>SUM(H31:H33)</f>
        <v>#REF!</v>
      </c>
      <c r="I30" s="180" t="e">
        <f>SUM(I31:I33)</f>
        <v>#REF!</v>
      </c>
      <c r="J30" s="180" t="e">
        <f>SUM(L30:O30)</f>
        <v>#REF!</v>
      </c>
      <c r="K30" s="180"/>
      <c r="L30" s="180">
        <f>SUM(L31:L33)</f>
        <v>0</v>
      </c>
      <c r="M30" s="180" t="e">
        <f>SUM(M31:M33)</f>
        <v>#REF!</v>
      </c>
      <c r="N30" s="180" t="e">
        <f>SUM(N31:N33)</f>
        <v>#REF!</v>
      </c>
      <c r="O30" s="180" t="e">
        <f>SUM(O31:O33)</f>
        <v>#REF!</v>
      </c>
    </row>
    <row r="31" spans="1:15" ht="13.5" thickTop="1" thickBot="1">
      <c r="A31" s="862"/>
      <c r="B31" s="182" t="s">
        <v>54</v>
      </c>
      <c r="C31" s="182" t="s">
        <v>55</v>
      </c>
      <c r="D31" s="183" t="e">
        <f t="shared" ref="D31:D43" si="8">SUM(E31:I31)</f>
        <v>#REF!</v>
      </c>
      <c r="E31" s="195"/>
      <c r="F31" s="235"/>
      <c r="G31" s="184" t="e">
        <f>'10 месяцев'!G31+#REF!</f>
        <v>#REF!</v>
      </c>
      <c r="H31" s="184" t="e">
        <f>'10 месяцев'!H31+#REF!</f>
        <v>#REF!</v>
      </c>
      <c r="I31" s="195"/>
      <c r="J31" s="183" t="e">
        <f t="shared" ref="J31:J43" si="9">SUM(K31:O31)</f>
        <v>#REF!</v>
      </c>
      <c r="K31" s="195"/>
      <c r="L31" s="196"/>
      <c r="M31" s="183" t="e">
        <f>L36</f>
        <v>#REF!</v>
      </c>
      <c r="N31" s="183" t="e">
        <f>L37</f>
        <v>#REF!</v>
      </c>
      <c r="O31" s="195"/>
    </row>
    <row r="32" spans="1:15" ht="13.5" thickTop="1" thickBot="1">
      <c r="A32" s="862"/>
      <c r="B32" s="182" t="s">
        <v>56</v>
      </c>
      <c r="C32" s="182" t="s">
        <v>57</v>
      </c>
      <c r="D32" s="183" t="e">
        <f t="shared" si="8"/>
        <v>#REF!</v>
      </c>
      <c r="E32" s="195"/>
      <c r="F32" s="195"/>
      <c r="G32" s="195"/>
      <c r="H32" s="184" t="e">
        <f>'10 месяцев'!H32+#REF!</f>
        <v>#REF!</v>
      </c>
      <c r="I32" s="235"/>
      <c r="J32" s="183" t="e">
        <f t="shared" si="9"/>
        <v>#REF!</v>
      </c>
      <c r="K32" s="195"/>
      <c r="L32" s="195"/>
      <c r="M32" s="195"/>
      <c r="N32" s="183" t="e">
        <f>M37</f>
        <v>#REF!</v>
      </c>
      <c r="O32" s="196">
        <f>M43</f>
        <v>0</v>
      </c>
    </row>
    <row r="33" spans="1:15" ht="13.5" thickTop="1" thickBot="1">
      <c r="A33" s="862"/>
      <c r="B33" s="182" t="s">
        <v>58</v>
      </c>
      <c r="C33" s="182" t="s">
        <v>59</v>
      </c>
      <c r="D33" s="183" t="e">
        <f t="shared" si="8"/>
        <v>#REF!</v>
      </c>
      <c r="E33" s="195"/>
      <c r="F33" s="195"/>
      <c r="G33" s="195"/>
      <c r="H33" s="195"/>
      <c r="I33" s="184" t="e">
        <f>'10 месяцев'!I33+#REF!</f>
        <v>#REF!</v>
      </c>
      <c r="J33" s="183" t="e">
        <f t="shared" si="9"/>
        <v>#REF!</v>
      </c>
      <c r="K33" s="195"/>
      <c r="L33" s="195"/>
      <c r="M33" s="195"/>
      <c r="N33" s="195"/>
      <c r="O33" s="183" t="e">
        <f>M38+N38</f>
        <v>#REF!</v>
      </c>
    </row>
    <row r="34" spans="1:15" ht="13.5" thickTop="1" thickBot="1">
      <c r="A34" s="862"/>
      <c r="B34" s="179" t="s">
        <v>60</v>
      </c>
      <c r="C34" s="179" t="s">
        <v>61</v>
      </c>
      <c r="D34" s="180" t="e">
        <f t="shared" si="8"/>
        <v>#REF!</v>
      </c>
      <c r="E34" s="180"/>
      <c r="F34" s="180" t="e">
        <f>SUM(F35:F38)</f>
        <v>#REF!</v>
      </c>
      <c r="G34" s="180" t="e">
        <f>SUM(G35:G38)</f>
        <v>#REF!</v>
      </c>
      <c r="H34" s="180" t="e">
        <f>SUM(H35:H38)</f>
        <v>#REF!</v>
      </c>
      <c r="I34" s="181">
        <f>SUM(I35:I38)</f>
        <v>0</v>
      </c>
      <c r="J34" s="180" t="e">
        <f t="shared" si="9"/>
        <v>#REF!</v>
      </c>
      <c r="K34" s="180"/>
      <c r="L34" s="180" t="e">
        <f>SUM(L35:L38)</f>
        <v>#REF!</v>
      </c>
      <c r="M34" s="180" t="e">
        <f>SUM(M35:M38)</f>
        <v>#REF!</v>
      </c>
      <c r="N34" s="180" t="e">
        <f>SUM(N35:N38)</f>
        <v>#REF!</v>
      </c>
      <c r="O34" s="181">
        <f>SUM(O35:O38)</f>
        <v>0</v>
      </c>
    </row>
    <row r="35" spans="1:15" ht="13.5" thickTop="1" thickBot="1">
      <c r="A35" s="862"/>
      <c r="B35" s="182" t="s">
        <v>62</v>
      </c>
      <c r="C35" s="182" t="s">
        <v>63</v>
      </c>
      <c r="D35" s="183">
        <f t="shared" si="8"/>
        <v>0</v>
      </c>
      <c r="E35" s="196"/>
      <c r="F35" s="195"/>
      <c r="G35" s="195"/>
      <c r="H35" s="195"/>
      <c r="I35" s="195"/>
      <c r="J35" s="183">
        <f t="shared" si="9"/>
        <v>0</v>
      </c>
      <c r="K35" s="196"/>
      <c r="L35" s="195"/>
      <c r="M35" s="195"/>
      <c r="N35" s="195"/>
      <c r="O35" s="195"/>
    </row>
    <row r="36" spans="1:15" ht="13.5" thickTop="1" thickBot="1">
      <c r="A36" s="862"/>
      <c r="B36" s="182" t="s">
        <v>64</v>
      </c>
      <c r="C36" s="182" t="s">
        <v>65</v>
      </c>
      <c r="D36" s="183" t="e">
        <f t="shared" si="8"/>
        <v>#REF!</v>
      </c>
      <c r="E36" s="183"/>
      <c r="F36" s="185" t="e">
        <f>G31</f>
        <v>#REF!</v>
      </c>
      <c r="G36" s="195"/>
      <c r="H36" s="195"/>
      <c r="I36" s="195"/>
      <c r="J36" s="183" t="e">
        <f t="shared" si="9"/>
        <v>#REF!</v>
      </c>
      <c r="K36" s="183"/>
      <c r="L36" s="338" t="e">
        <f>'10 месяцев'!L36+#REF!</f>
        <v>#REF!</v>
      </c>
      <c r="M36" s="195"/>
      <c r="N36" s="195"/>
      <c r="O36" s="195"/>
    </row>
    <row r="37" spans="1:15" ht="13.5" thickTop="1" thickBot="1">
      <c r="A37" s="862"/>
      <c r="B37" s="182" t="s">
        <v>66</v>
      </c>
      <c r="C37" s="182" t="s">
        <v>67</v>
      </c>
      <c r="D37" s="183" t="e">
        <f t="shared" si="8"/>
        <v>#REF!</v>
      </c>
      <c r="E37" s="183"/>
      <c r="F37" s="185" t="e">
        <f>H31</f>
        <v>#REF!</v>
      </c>
      <c r="G37" s="185" t="e">
        <f>H32</f>
        <v>#REF!</v>
      </c>
      <c r="H37" s="195"/>
      <c r="I37" s="195"/>
      <c r="J37" s="183" t="e">
        <f t="shared" si="9"/>
        <v>#REF!</v>
      </c>
      <c r="K37" s="183"/>
      <c r="L37" s="338" t="e">
        <f>'10 месяцев'!L37+#REF!</f>
        <v>#REF!</v>
      </c>
      <c r="M37" s="338" t="e">
        <f>'10 месяцев'!M37+#REF!</f>
        <v>#REF!</v>
      </c>
      <c r="N37" s="195"/>
      <c r="O37" s="195"/>
    </row>
    <row r="38" spans="1:15" ht="13.5" thickTop="1" thickBot="1">
      <c r="A38" s="862"/>
      <c r="B38" s="182" t="s">
        <v>68</v>
      </c>
      <c r="C38" s="182" t="s">
        <v>69</v>
      </c>
      <c r="D38" s="183" t="e">
        <f t="shared" si="8"/>
        <v>#REF!</v>
      </c>
      <c r="E38" s="195"/>
      <c r="F38" s="195"/>
      <c r="G38" s="196"/>
      <c r="H38" s="185" t="e">
        <f>I33</f>
        <v>#REF!</v>
      </c>
      <c r="I38" s="195"/>
      <c r="J38" s="183" t="e">
        <f t="shared" si="9"/>
        <v>#REF!</v>
      </c>
      <c r="K38" s="195"/>
      <c r="L38" s="195"/>
      <c r="M38" s="196"/>
      <c r="N38" s="338" t="e">
        <f>'10 месяцев'!N38+#REF!</f>
        <v>#REF!</v>
      </c>
      <c r="O38" s="195"/>
    </row>
    <row r="39" spans="1:15" s="17" customFormat="1" ht="13.5" thickTop="1" thickBot="1">
      <c r="A39" s="862"/>
      <c r="B39" s="232" t="s">
        <v>70</v>
      </c>
      <c r="C39" s="232" t="s">
        <v>71</v>
      </c>
      <c r="D39" s="192" t="e">
        <f t="shared" si="8"/>
        <v>#REF!</v>
      </c>
      <c r="E39" s="192"/>
      <c r="F39" s="192" t="e">
        <f>SUM(F40:F43)</f>
        <v>#REF!</v>
      </c>
      <c r="G39" s="192" t="e">
        <f>SUM(G40:G43)</f>
        <v>#REF!</v>
      </c>
      <c r="H39" s="192" t="e">
        <f>SUM(H40:H43)</f>
        <v>#REF!</v>
      </c>
      <c r="I39" s="192" t="e">
        <f>SUM(I40:I43)</f>
        <v>#REF!</v>
      </c>
      <c r="J39" s="192" t="e">
        <f t="shared" si="9"/>
        <v>#REF!</v>
      </c>
      <c r="K39" s="192"/>
      <c r="L39" s="192" t="e">
        <f>SUM(L40:L43)</f>
        <v>#REF!</v>
      </c>
      <c r="M39" s="192" t="e">
        <f>SUM(M40:M43)</f>
        <v>#REF!</v>
      </c>
      <c r="N39" s="192" t="e">
        <f>SUM(N40:N43)</f>
        <v>#REF!</v>
      </c>
      <c r="O39" s="192" t="e">
        <f>SUM(O40:O43)</f>
        <v>#REF!</v>
      </c>
    </row>
    <row r="40" spans="1:15" ht="13.5" thickTop="1" thickBot="1">
      <c r="A40" s="862"/>
      <c r="B40" s="182" t="s">
        <v>72</v>
      </c>
      <c r="C40" s="182" t="s">
        <v>5</v>
      </c>
      <c r="D40" s="183" t="e">
        <f t="shared" si="8"/>
        <v>#REF!</v>
      </c>
      <c r="E40" s="196"/>
      <c r="F40" s="196">
        <f>F31-F35</f>
        <v>0</v>
      </c>
      <c r="G40" s="196" t="e">
        <f>G31-G35</f>
        <v>#REF!</v>
      </c>
      <c r="H40" s="196" t="e">
        <f>H31-H35</f>
        <v>#REF!</v>
      </c>
      <c r="I40" s="195"/>
      <c r="J40" s="183" t="e">
        <f t="shared" si="9"/>
        <v>#REF!</v>
      </c>
      <c r="K40" s="196"/>
      <c r="L40" s="196">
        <f>L31-L35</f>
        <v>0</v>
      </c>
      <c r="M40" s="196" t="e">
        <f>M31-M35</f>
        <v>#REF!</v>
      </c>
      <c r="N40" s="196" t="e">
        <f>N31-N35</f>
        <v>#REF!</v>
      </c>
      <c r="O40" s="195"/>
    </row>
    <row r="41" spans="1:15" ht="13.5" thickTop="1" thickBot="1">
      <c r="A41" s="862"/>
      <c r="B41" s="182" t="s">
        <v>73</v>
      </c>
      <c r="C41" s="182" t="s">
        <v>74</v>
      </c>
      <c r="D41" s="183" t="e">
        <f t="shared" si="8"/>
        <v>#REF!</v>
      </c>
      <c r="E41" s="196">
        <f>E32-E36</f>
        <v>0</v>
      </c>
      <c r="F41" s="196" t="e">
        <f>F32-F36</f>
        <v>#REF!</v>
      </c>
      <c r="G41" s="195"/>
      <c r="H41" s="196" t="e">
        <f>H32-H36</f>
        <v>#REF!</v>
      </c>
      <c r="I41" s="195"/>
      <c r="J41" s="183" t="e">
        <f t="shared" si="9"/>
        <v>#REF!</v>
      </c>
      <c r="K41" s="196">
        <f>K32-K36</f>
        <v>0</v>
      </c>
      <c r="L41" s="196" t="e">
        <f>L32-L36</f>
        <v>#REF!</v>
      </c>
      <c r="M41" s="195"/>
      <c r="N41" s="196" t="e">
        <f>N32-N36</f>
        <v>#REF!</v>
      </c>
      <c r="O41" s="195"/>
    </row>
    <row r="42" spans="1:15" ht="13.5" thickTop="1" thickBot="1">
      <c r="A42" s="862"/>
      <c r="B42" s="182" t="s">
        <v>75</v>
      </c>
      <c r="C42" s="182" t="s">
        <v>76</v>
      </c>
      <c r="D42" s="183" t="e">
        <f t="shared" si="8"/>
        <v>#REF!</v>
      </c>
      <c r="E42" s="196">
        <f>E33-E37</f>
        <v>0</v>
      </c>
      <c r="F42" s="196" t="e">
        <f>F33-F37</f>
        <v>#REF!</v>
      </c>
      <c r="G42" s="196" t="e">
        <f>G33-G37</f>
        <v>#REF!</v>
      </c>
      <c r="H42" s="195"/>
      <c r="I42" s="196" t="e">
        <f>I33-I37</f>
        <v>#REF!</v>
      </c>
      <c r="J42" s="183" t="e">
        <f t="shared" si="9"/>
        <v>#REF!</v>
      </c>
      <c r="K42" s="196">
        <f>K33-K37</f>
        <v>0</v>
      </c>
      <c r="L42" s="196" t="e">
        <f>L33-L37</f>
        <v>#REF!</v>
      </c>
      <c r="M42" s="196" t="e">
        <f>M33-M37</f>
        <v>#REF!</v>
      </c>
      <c r="N42" s="195"/>
      <c r="O42" s="196" t="e">
        <f>O33-O37</f>
        <v>#REF!</v>
      </c>
    </row>
    <row r="43" spans="1:15" ht="13.5" thickTop="1" thickBot="1">
      <c r="A43" s="862"/>
      <c r="B43" s="199" t="s">
        <v>77</v>
      </c>
      <c r="C43" s="199" t="s">
        <v>8</v>
      </c>
      <c r="D43" s="196" t="e">
        <f t="shared" si="8"/>
        <v>#REF!</v>
      </c>
      <c r="E43" s="195"/>
      <c r="F43" s="195"/>
      <c r="G43" s="196"/>
      <c r="H43" s="196" t="e">
        <f>-H38</f>
        <v>#REF!</v>
      </c>
      <c r="I43" s="195"/>
      <c r="J43" s="196" t="e">
        <f t="shared" si="9"/>
        <v>#REF!</v>
      </c>
      <c r="K43" s="195"/>
      <c r="L43" s="195"/>
      <c r="M43" s="196"/>
      <c r="N43" s="196" t="e">
        <f>-N38</f>
        <v>#REF!</v>
      </c>
      <c r="O43" s="195"/>
    </row>
    <row r="44" spans="1:15" ht="13.5" thickTop="1" thickBot="1">
      <c r="A44" s="177"/>
      <c r="B44" s="200" t="s">
        <v>78</v>
      </c>
      <c r="C44" s="200" t="s">
        <v>79</v>
      </c>
      <c r="D44" s="201" t="e">
        <f>D22</f>
        <v>#REF!</v>
      </c>
      <c r="E44" s="201" t="e">
        <f>E22+E30</f>
        <v>#REF!</v>
      </c>
      <c r="F44" s="201" t="e">
        <f>F22+F30</f>
        <v>#REF!</v>
      </c>
      <c r="G44" s="201" t="e">
        <f>G22+G30</f>
        <v>#REF!</v>
      </c>
      <c r="H44" s="201" t="e">
        <f>H22+H30</f>
        <v>#REF!</v>
      </c>
      <c r="I44" s="201" t="e">
        <f>I22+I30</f>
        <v>#REF!</v>
      </c>
      <c r="J44" s="201" t="e">
        <f>J22</f>
        <v>#REF!</v>
      </c>
      <c r="K44" s="201">
        <f>K22+K30</f>
        <v>0</v>
      </c>
      <c r="L44" s="201" t="e">
        <f>L22+L30</f>
        <v>#REF!</v>
      </c>
      <c r="M44" s="201" t="e">
        <f>M22+M30</f>
        <v>#REF!</v>
      </c>
      <c r="N44" s="201" t="e">
        <f>N22+N30</f>
        <v>#REF!</v>
      </c>
      <c r="O44" s="201" t="e">
        <f>O22+O30</f>
        <v>#REF!</v>
      </c>
    </row>
    <row r="45" spans="1:15" ht="13.5" thickTop="1" thickBot="1">
      <c r="A45" s="177"/>
      <c r="B45" s="202" t="s">
        <v>80</v>
      </c>
      <c r="C45" s="202" t="s">
        <v>81</v>
      </c>
      <c r="D45" s="203" t="e">
        <f>D44</f>
        <v>#REF!</v>
      </c>
      <c r="E45" s="203" t="e">
        <f>E143+E151+E34</f>
        <v>#REF!</v>
      </c>
      <c r="F45" s="203" t="e">
        <f>F143+F151+F34-G49-H49-G73-H73-G78-H78-H54-H97-H109-G97-G102-H102-G109-G114-H114-G121-H121-G126-H126-G133-H133</f>
        <v>#REF!</v>
      </c>
      <c r="G45" s="203" t="e">
        <f>G143+G151+G34-H50-I50-H55-I55-H62-I62-H67-I67-H98-H74-H79-H86-H91-H103-H110-H115-H122-H127-H134</f>
        <v>#REF!</v>
      </c>
      <c r="H45" s="203" t="e">
        <f>H143+H151+H34-I51-I56-I63-I68-I75-I80-I87-I92-I99-I104-I111-I116-I123-I128</f>
        <v>#REF!</v>
      </c>
      <c r="I45" s="203" t="e">
        <f>I151+I143</f>
        <v>#REF!</v>
      </c>
      <c r="J45" s="203" t="e">
        <f>J44</f>
        <v>#REF!</v>
      </c>
      <c r="K45" s="203">
        <f>K143+K151+K34</f>
        <v>0</v>
      </c>
      <c r="L45" s="203" t="e">
        <f>L143+L151+L34-M49-N49-M73-N73-M78-N78-N54-N97-N109-M97-M102-N102-M109-M114-N114-M121-N121-M126-N126-M133-N133</f>
        <v>#REF!</v>
      </c>
      <c r="M45" s="203" t="e">
        <f>M143+M151+M34-N50-O50-N55-O55-N62-O62-N67-O67-N98-N74-N79-N86-N91-N103-N110-N115-N122-N127-N134</f>
        <v>#REF!</v>
      </c>
      <c r="N45" s="203" t="e">
        <f>N143+N151+N34-O51-O56-O63-O68-O75-O80-O87-O92-O99-O104-O111-O116-O123-O128</f>
        <v>#REF!</v>
      </c>
      <c r="O45" s="203" t="e">
        <f>O151+O143</f>
        <v>#REF!</v>
      </c>
    </row>
    <row r="46" spans="1:15" ht="13.5" thickTop="1" thickBot="1">
      <c r="A46" s="862" t="s">
        <v>82</v>
      </c>
      <c r="B46" s="179" t="s">
        <v>83</v>
      </c>
      <c r="C46" s="179" t="s">
        <v>84</v>
      </c>
      <c r="D46" s="181" t="e">
        <f>SUM(E46:I46)</f>
        <v>#REF!</v>
      </c>
      <c r="E46" s="322" t="e">
        <f>E47+E59+E71+E83+E95</f>
        <v>#REF!</v>
      </c>
      <c r="F46" s="322" t="e">
        <f>F47+F59+F71+F83+F95+F107+F119+F131</f>
        <v>#REF!</v>
      </c>
      <c r="G46" s="322" t="e">
        <f>G47+G59+G71+G83+G95+G107+G119+G131</f>
        <v>#REF!</v>
      </c>
      <c r="H46" s="322" t="e">
        <f>H47+H59+H71+H83+H95+H107+H119+H131</f>
        <v>#REF!</v>
      </c>
      <c r="I46" s="322" t="e">
        <f>I47+I59+I71+I83+I95+I107+I119+I131</f>
        <v>#REF!</v>
      </c>
      <c r="J46" s="181" t="e">
        <f>SUM(K46:O46)</f>
        <v>#REF!</v>
      </c>
      <c r="K46" s="322">
        <f>K47+K59+K71+K83+K95</f>
        <v>0</v>
      </c>
      <c r="L46" s="322" t="e">
        <f>L47+L59+L71+L83+L95+L107+L119+L131</f>
        <v>#REF!</v>
      </c>
      <c r="M46" s="322" t="e">
        <f>M47+M59+M71+M83+M95+M107+M119+M131</f>
        <v>#REF!</v>
      </c>
      <c r="N46" s="322" t="e">
        <f>N47+N59+N71+N83+N95+N107+N119+N131</f>
        <v>#REF!</v>
      </c>
      <c r="O46" s="322" t="e">
        <f>O47+O59+O71+O83+O95+O107+O119+O131</f>
        <v>#REF!</v>
      </c>
    </row>
    <row r="47" spans="1:15" s="3" customFormat="1" ht="13.5" thickTop="1" thickBot="1">
      <c r="A47" s="862"/>
      <c r="B47" s="270" t="s">
        <v>85</v>
      </c>
      <c r="C47" s="271" t="s">
        <v>86</v>
      </c>
      <c r="D47" s="206" t="e">
        <f t="shared" ref="D47:D147" si="10">SUM(E47:I47)</f>
        <v>#REF!</v>
      </c>
      <c r="E47" s="338" t="e">
        <f>'10 месяцев'!E47+#REF!</f>
        <v>#REF!</v>
      </c>
      <c r="F47" s="338" t="e">
        <f>'10 месяцев'!F47+#REF!</f>
        <v>#REF!</v>
      </c>
      <c r="G47" s="338" t="e">
        <f>'10 месяцев'!G47+#REF!</f>
        <v>#REF!</v>
      </c>
      <c r="H47" s="338" t="e">
        <f>'10 месяцев'!H47+#REF!</f>
        <v>#REF!</v>
      </c>
      <c r="I47" s="338" t="e">
        <f>'10 месяцев'!I47+#REF!</f>
        <v>#REF!</v>
      </c>
      <c r="J47" s="351" t="e">
        <f t="shared" ref="J47:J147" si="11">SUM(K47:O47)</f>
        <v>#REF!</v>
      </c>
      <c r="K47" s="338"/>
      <c r="L47" s="338" t="e">
        <f>'10 месяцев'!L47+#REF!</f>
        <v>#REF!</v>
      </c>
      <c r="M47" s="338" t="e">
        <f>'10 месяцев'!M47+#REF!</f>
        <v>#REF!</v>
      </c>
      <c r="N47" s="338" t="e">
        <f>'10 месяцев'!N47+#REF!</f>
        <v>#REF!</v>
      </c>
      <c r="O47" s="338" t="e">
        <f>'10 месяцев'!O47+#REF!</f>
        <v>#REF!</v>
      </c>
    </row>
    <row r="48" spans="1:15" ht="13.5" thickTop="1" thickBot="1">
      <c r="A48" s="862"/>
      <c r="B48" s="263" t="s">
        <v>87</v>
      </c>
      <c r="C48" s="263" t="s">
        <v>88</v>
      </c>
      <c r="D48" s="196">
        <f t="shared" si="10"/>
        <v>0</v>
      </c>
      <c r="E48" s="351"/>
      <c r="F48" s="351"/>
      <c r="G48" s="351"/>
      <c r="H48" s="351"/>
      <c r="I48" s="351"/>
      <c r="J48" s="351">
        <f t="shared" si="11"/>
        <v>0</v>
      </c>
      <c r="K48" s="351"/>
      <c r="L48" s="351"/>
      <c r="M48" s="351"/>
      <c r="N48" s="351"/>
      <c r="O48" s="351"/>
    </row>
    <row r="49" spans="1:15" ht="13.5" thickTop="1" thickBot="1">
      <c r="A49" s="862"/>
      <c r="B49" s="275"/>
      <c r="C49" s="276" t="s">
        <v>89</v>
      </c>
      <c r="D49" s="209" t="e">
        <f t="shared" si="10"/>
        <v>#REF!</v>
      </c>
      <c r="E49" s="707"/>
      <c r="F49" s="707"/>
      <c r="G49" s="746"/>
      <c r="H49" s="338" t="e">
        <f>'10 месяцев'!H49+#REF!</f>
        <v>#REF!</v>
      </c>
      <c r="I49" s="707"/>
      <c r="J49" s="708" t="e">
        <f t="shared" si="11"/>
        <v>#REF!</v>
      </c>
      <c r="K49" s="707"/>
      <c r="L49" s="707"/>
      <c r="M49" s="746"/>
      <c r="N49" s="338" t="e">
        <f>'10 месяцев'!N49+#REF!</f>
        <v>#REF!</v>
      </c>
      <c r="O49" s="707"/>
    </row>
    <row r="50" spans="1:15" ht="13.5" thickTop="1" thickBot="1">
      <c r="A50" s="862"/>
      <c r="B50" s="275"/>
      <c r="C50" s="276" t="s">
        <v>90</v>
      </c>
      <c r="D50" s="209" t="e">
        <f t="shared" si="10"/>
        <v>#REF!</v>
      </c>
      <c r="E50" s="707"/>
      <c r="F50" s="707"/>
      <c r="G50" s="707"/>
      <c r="H50" s="338" t="e">
        <f>'10 месяцев'!H50+#REF!</f>
        <v>#REF!</v>
      </c>
      <c r="I50" s="747"/>
      <c r="J50" s="708" t="e">
        <f t="shared" si="11"/>
        <v>#REF!</v>
      </c>
      <c r="K50" s="707"/>
      <c r="L50" s="707"/>
      <c r="M50" s="707"/>
      <c r="N50" s="338" t="e">
        <f>'10 месяцев'!N50+#REF!</f>
        <v>#REF!</v>
      </c>
      <c r="O50" s="747"/>
    </row>
    <row r="51" spans="1:15" ht="13.5" thickTop="1" thickBot="1">
      <c r="A51" s="862"/>
      <c r="B51" s="275"/>
      <c r="C51" s="276" t="s">
        <v>91</v>
      </c>
      <c r="D51" s="209">
        <f t="shared" si="10"/>
        <v>0</v>
      </c>
      <c r="E51" s="707"/>
      <c r="F51" s="707"/>
      <c r="G51" s="707"/>
      <c r="H51" s="707"/>
      <c r="I51" s="746"/>
      <c r="J51" s="708">
        <f t="shared" si="11"/>
        <v>0</v>
      </c>
      <c r="K51" s="707"/>
      <c r="L51" s="707"/>
      <c r="M51" s="707"/>
      <c r="N51" s="707"/>
      <c r="O51" s="746"/>
    </row>
    <row r="52" spans="1:15" ht="13.5" thickTop="1" thickBot="1">
      <c r="A52" s="862"/>
      <c r="B52" s="263" t="s">
        <v>92</v>
      </c>
      <c r="C52" s="263" t="s">
        <v>93</v>
      </c>
      <c r="D52" s="196" t="e">
        <f t="shared" si="10"/>
        <v>#REF!</v>
      </c>
      <c r="E52" s="351"/>
      <c r="F52" s="338" t="e">
        <f>'10 месяцев'!F52+#REF!</f>
        <v>#REF!</v>
      </c>
      <c r="G52" s="338" t="e">
        <f>'10 месяцев'!G52+#REF!</f>
        <v>#REF!</v>
      </c>
      <c r="H52" s="338" t="e">
        <f>'10 месяцев'!H52+#REF!</f>
        <v>#REF!</v>
      </c>
      <c r="I52" s="338" t="e">
        <f>'10 месяцев'!I52+#REF!</f>
        <v>#REF!</v>
      </c>
      <c r="J52" s="351">
        <f t="shared" si="11"/>
        <v>0</v>
      </c>
      <c r="K52" s="351"/>
      <c r="L52" s="338"/>
      <c r="M52" s="338"/>
      <c r="N52" s="338"/>
      <c r="O52" s="338"/>
    </row>
    <row r="53" spans="1:15" ht="13.5" thickTop="1" thickBot="1">
      <c r="A53" s="862"/>
      <c r="B53" s="263" t="s">
        <v>94</v>
      </c>
      <c r="C53" s="263" t="s">
        <v>95</v>
      </c>
      <c r="D53" s="213" t="e">
        <f t="shared" si="10"/>
        <v>#REF!</v>
      </c>
      <c r="E53" s="746"/>
      <c r="F53" s="748"/>
      <c r="G53" s="338" t="e">
        <f>'10 месяцев'!G53+#REF!</f>
        <v>#REF!</v>
      </c>
      <c r="H53" s="338" t="e">
        <f>'10 месяцев'!H53+#REF!</f>
        <v>#REF!</v>
      </c>
      <c r="I53" s="338" t="e">
        <f>'10 месяцев'!I53+#REF!</f>
        <v>#REF!</v>
      </c>
      <c r="J53" s="749" t="e">
        <f t="shared" si="11"/>
        <v>#REF!</v>
      </c>
      <c r="K53" s="746"/>
      <c r="L53" s="748"/>
      <c r="M53" s="338" t="e">
        <f>'10 месяцев'!M53+#REF!</f>
        <v>#REF!</v>
      </c>
      <c r="N53" s="338" t="e">
        <f>'10 месяцев'!N53+#REF!</f>
        <v>#REF!</v>
      </c>
      <c r="O53" s="338" t="e">
        <f>'10 месяцев'!O53+#REF!</f>
        <v>#REF!</v>
      </c>
    </row>
    <row r="54" spans="1:15" ht="13.5" thickTop="1" thickBot="1">
      <c r="A54" s="862"/>
      <c r="B54" s="275"/>
      <c r="C54" s="276" t="s">
        <v>89</v>
      </c>
      <c r="D54" s="209" t="e">
        <f t="shared" si="10"/>
        <v>#REF!</v>
      </c>
      <c r="E54" s="707"/>
      <c r="F54" s="707"/>
      <c r="G54" s="746"/>
      <c r="H54" s="338" t="e">
        <f>'10 месяцев'!H54+#REF!</f>
        <v>#REF!</v>
      </c>
      <c r="I54" s="707"/>
      <c r="J54" s="708" t="e">
        <f t="shared" si="11"/>
        <v>#REF!</v>
      </c>
      <c r="K54" s="707"/>
      <c r="L54" s="707"/>
      <c r="M54" s="746"/>
      <c r="N54" s="338" t="e">
        <f>'10 месяцев'!N54+#REF!</f>
        <v>#REF!</v>
      </c>
      <c r="O54" s="707"/>
    </row>
    <row r="55" spans="1:15" ht="13.5" thickTop="1" thickBot="1">
      <c r="A55" s="862"/>
      <c r="B55" s="275"/>
      <c r="C55" s="276" t="s">
        <v>90</v>
      </c>
      <c r="D55" s="209">
        <f t="shared" si="10"/>
        <v>0</v>
      </c>
      <c r="E55" s="707"/>
      <c r="F55" s="707"/>
      <c r="G55" s="707"/>
      <c r="H55" s="748"/>
      <c r="I55" s="748"/>
      <c r="J55" s="708">
        <f t="shared" si="11"/>
        <v>0</v>
      </c>
      <c r="K55" s="707"/>
      <c r="L55" s="707"/>
      <c r="M55" s="707"/>
      <c r="N55" s="747"/>
      <c r="O55" s="747"/>
    </row>
    <row r="56" spans="1:15" ht="13.5" thickTop="1" thickBot="1">
      <c r="A56" s="862"/>
      <c r="B56" s="275"/>
      <c r="C56" s="276" t="s">
        <v>91</v>
      </c>
      <c r="D56" s="209">
        <f t="shared" si="10"/>
        <v>0</v>
      </c>
      <c r="E56" s="707"/>
      <c r="F56" s="707"/>
      <c r="G56" s="707"/>
      <c r="H56" s="707"/>
      <c r="I56" s="748"/>
      <c r="J56" s="708">
        <f t="shared" si="11"/>
        <v>0</v>
      </c>
      <c r="K56" s="707"/>
      <c r="L56" s="707"/>
      <c r="M56" s="707"/>
      <c r="N56" s="707"/>
      <c r="O56" s="747"/>
    </row>
    <row r="57" spans="1:15" ht="13.5" thickTop="1" thickBot="1">
      <c r="A57" s="862"/>
      <c r="B57" s="263" t="s">
        <v>96</v>
      </c>
      <c r="C57" s="263" t="s">
        <v>97</v>
      </c>
      <c r="D57" s="196" t="e">
        <f t="shared" si="10"/>
        <v>#REF!</v>
      </c>
      <c r="E57" s="351"/>
      <c r="F57" s="351"/>
      <c r="G57" s="351"/>
      <c r="H57" s="338" t="e">
        <f>'10 месяцев'!H57+#REF!</f>
        <v>#REF!</v>
      </c>
      <c r="I57" s="351"/>
      <c r="J57" s="351" t="e">
        <f t="shared" si="11"/>
        <v>#REF!</v>
      </c>
      <c r="K57" s="351"/>
      <c r="L57" s="351"/>
      <c r="M57" s="351"/>
      <c r="N57" s="338" t="e">
        <f>'10 месяцев'!N57+#REF!</f>
        <v>#REF!</v>
      </c>
      <c r="O57" s="351"/>
    </row>
    <row r="58" spans="1:15" ht="13.5" thickTop="1" thickBot="1">
      <c r="A58" s="862"/>
      <c r="B58" s="263" t="s">
        <v>98</v>
      </c>
      <c r="C58" s="263" t="s">
        <v>99</v>
      </c>
      <c r="D58" s="196">
        <f t="shared" si="10"/>
        <v>0</v>
      </c>
      <c r="E58" s="351"/>
      <c r="F58" s="351"/>
      <c r="G58" s="351"/>
      <c r="H58" s="747">
        <f>'1 квартал'!H58+'2 квартал'!H58+'3 квартал'!H58</f>
        <v>0</v>
      </c>
      <c r="I58" s="351"/>
      <c r="J58" s="351" t="e">
        <f t="shared" si="11"/>
        <v>#REF!</v>
      </c>
      <c r="K58" s="351"/>
      <c r="L58" s="351"/>
      <c r="M58" s="351"/>
      <c r="N58" s="747" t="e">
        <f>N12</f>
        <v>#REF!</v>
      </c>
      <c r="O58" s="351"/>
    </row>
    <row r="59" spans="1:15" ht="13.5" thickTop="1" thickBot="1">
      <c r="A59" s="862"/>
      <c r="B59" s="204" t="s">
        <v>171</v>
      </c>
      <c r="C59" s="205" t="s">
        <v>190</v>
      </c>
      <c r="D59" s="206" t="e">
        <f t="shared" si="10"/>
        <v>#REF!</v>
      </c>
      <c r="E59" s="338" t="e">
        <f>'10 месяцев'!E59+#REF!</f>
        <v>#REF!</v>
      </c>
      <c r="F59" s="338" t="e">
        <f>'10 месяцев'!F59+#REF!</f>
        <v>#REF!</v>
      </c>
      <c r="G59" s="477"/>
      <c r="H59" s="338" t="e">
        <f>'10 месяцев'!H59+#REF!</f>
        <v>#REF!</v>
      </c>
      <c r="I59" s="338" t="e">
        <f>'10 месяцев'!I59+#REF!</f>
        <v>#REF!</v>
      </c>
      <c r="J59" s="351" t="e">
        <f t="shared" si="11"/>
        <v>#REF!</v>
      </c>
      <c r="K59" s="338"/>
      <c r="L59" s="338" t="e">
        <f>'10 месяцев'!L59+#REF!</f>
        <v>#REF!</v>
      </c>
      <c r="M59" s="338"/>
      <c r="N59" s="338" t="e">
        <f>'10 месяцев'!N59+#REF!</f>
        <v>#REF!</v>
      </c>
      <c r="O59" s="338" t="e">
        <f>'10 месяцев'!O59+#REF!</f>
        <v>#REF!</v>
      </c>
    </row>
    <row r="60" spans="1:15" ht="13.5" thickTop="1" thickBot="1">
      <c r="A60" s="862"/>
      <c r="B60" s="182" t="s">
        <v>172</v>
      </c>
      <c r="C60" s="182" t="s">
        <v>88</v>
      </c>
      <c r="D60" s="196">
        <f t="shared" si="10"/>
        <v>0</v>
      </c>
      <c r="E60" s="351"/>
      <c r="F60" s="351"/>
      <c r="G60" s="351"/>
      <c r="H60" s="351"/>
      <c r="I60" s="351"/>
      <c r="J60" s="351">
        <f t="shared" si="11"/>
        <v>0</v>
      </c>
      <c r="K60" s="351"/>
      <c r="L60" s="351"/>
      <c r="M60" s="351">
        <f>SUM(M61:M63)</f>
        <v>0</v>
      </c>
      <c r="N60" s="351">
        <f>SUM(N61:N63)</f>
        <v>0</v>
      </c>
      <c r="O60" s="351">
        <f>SUM(O61:O63)</f>
        <v>0</v>
      </c>
    </row>
    <row r="61" spans="1:15" ht="13.5" thickTop="1" thickBot="1">
      <c r="A61" s="862"/>
      <c r="B61" s="207"/>
      <c r="C61" s="208" t="s">
        <v>89</v>
      </c>
      <c r="D61" s="209">
        <f t="shared" si="10"/>
        <v>0</v>
      </c>
      <c r="E61" s="707"/>
      <c r="F61" s="707"/>
      <c r="G61" s="708"/>
      <c r="H61" s="708"/>
      <c r="I61" s="707"/>
      <c r="J61" s="708">
        <f t="shared" si="11"/>
        <v>0</v>
      </c>
      <c r="K61" s="707"/>
      <c r="L61" s="707"/>
      <c r="M61" s="708"/>
      <c r="N61" s="708"/>
      <c r="O61" s="707"/>
    </row>
    <row r="62" spans="1:15" ht="13.5" thickTop="1" thickBot="1">
      <c r="A62" s="862"/>
      <c r="B62" s="207"/>
      <c r="C62" s="208" t="s">
        <v>90</v>
      </c>
      <c r="D62" s="209">
        <f t="shared" si="10"/>
        <v>0</v>
      </c>
      <c r="E62" s="707"/>
      <c r="F62" s="707"/>
      <c r="G62" s="707"/>
      <c r="H62" s="708"/>
      <c r="I62" s="708"/>
      <c r="J62" s="708">
        <f t="shared" si="11"/>
        <v>0</v>
      </c>
      <c r="K62" s="707"/>
      <c r="L62" s="707"/>
      <c r="M62" s="707"/>
      <c r="N62" s="708"/>
      <c r="O62" s="708"/>
    </row>
    <row r="63" spans="1:15" ht="13.5" thickTop="1" thickBot="1">
      <c r="A63" s="862"/>
      <c r="B63" s="207"/>
      <c r="C63" s="208" t="s">
        <v>91</v>
      </c>
      <c r="D63" s="209">
        <f t="shared" si="10"/>
        <v>0</v>
      </c>
      <c r="E63" s="707"/>
      <c r="F63" s="707"/>
      <c r="G63" s="707"/>
      <c r="H63" s="707"/>
      <c r="I63" s="708"/>
      <c r="J63" s="708">
        <f t="shared" si="11"/>
        <v>0</v>
      </c>
      <c r="K63" s="707"/>
      <c r="L63" s="707"/>
      <c r="M63" s="707"/>
      <c r="N63" s="707"/>
      <c r="O63" s="708"/>
    </row>
    <row r="64" spans="1:15" ht="13.5" thickTop="1" thickBot="1">
      <c r="A64" s="862"/>
      <c r="B64" s="182" t="s">
        <v>173</v>
      </c>
      <c r="C64" s="182" t="s">
        <v>93</v>
      </c>
      <c r="D64" s="196" t="e">
        <f t="shared" si="10"/>
        <v>#REF!</v>
      </c>
      <c r="E64" s="338" t="e">
        <f>'10 месяцев'!E64+#REF!</f>
        <v>#REF!</v>
      </c>
      <c r="F64" s="338" t="e">
        <f>'10 месяцев'!F64+#REF!</f>
        <v>#REF!</v>
      </c>
      <c r="G64" s="709"/>
      <c r="H64" s="709"/>
      <c r="I64" s="351"/>
      <c r="J64" s="351">
        <f t="shared" si="11"/>
        <v>0</v>
      </c>
      <c r="K64" s="338"/>
      <c r="L64" s="338"/>
      <c r="M64" s="709"/>
      <c r="N64" s="709"/>
      <c r="O64" s="338">
        <f>'1 квартал'!O64+'2 квартал'!O64+'3 квартал'!O64</f>
        <v>0</v>
      </c>
    </row>
    <row r="65" spans="1:15" ht="13.5" thickTop="1" thickBot="1">
      <c r="A65" s="862"/>
      <c r="B65" s="182" t="s">
        <v>174</v>
      </c>
      <c r="C65" s="182" t="s">
        <v>95</v>
      </c>
      <c r="D65" s="213" t="e">
        <f t="shared" si="10"/>
        <v>#REF!</v>
      </c>
      <c r="E65" s="338" t="e">
        <f>'10 месяцев'!E65+#REF!</f>
        <v>#REF!</v>
      </c>
      <c r="F65" s="708"/>
      <c r="G65" s="708"/>
      <c r="H65" s="708"/>
      <c r="I65" s="351"/>
      <c r="J65" s="749">
        <f t="shared" si="11"/>
        <v>0</v>
      </c>
      <c r="K65" s="338"/>
      <c r="L65" s="708"/>
      <c r="M65" s="708"/>
      <c r="N65" s="708"/>
      <c r="O65" s="351"/>
    </row>
    <row r="66" spans="1:15" ht="13.5" thickTop="1" thickBot="1">
      <c r="A66" s="862"/>
      <c r="B66" s="207"/>
      <c r="C66" s="208" t="s">
        <v>89</v>
      </c>
      <c r="D66" s="209">
        <f t="shared" si="10"/>
        <v>0</v>
      </c>
      <c r="E66" s="707"/>
      <c r="F66" s="707"/>
      <c r="G66" s="708"/>
      <c r="H66" s="708"/>
      <c r="I66" s="707"/>
      <c r="J66" s="708">
        <f t="shared" si="11"/>
        <v>0</v>
      </c>
      <c r="K66" s="707"/>
      <c r="L66" s="707"/>
      <c r="M66" s="708"/>
      <c r="N66" s="708"/>
      <c r="O66" s="707"/>
    </row>
    <row r="67" spans="1:15" ht="13.5" thickTop="1" thickBot="1">
      <c r="A67" s="862"/>
      <c r="B67" s="207"/>
      <c r="C67" s="208" t="s">
        <v>90</v>
      </c>
      <c r="D67" s="209">
        <f t="shared" si="10"/>
        <v>0</v>
      </c>
      <c r="E67" s="707"/>
      <c r="F67" s="707"/>
      <c r="G67" s="707"/>
      <c r="H67" s="708"/>
      <c r="I67" s="708"/>
      <c r="J67" s="708">
        <f t="shared" si="11"/>
        <v>0</v>
      </c>
      <c r="K67" s="707"/>
      <c r="L67" s="707"/>
      <c r="M67" s="707"/>
      <c r="N67" s="708"/>
      <c r="O67" s="708"/>
    </row>
    <row r="68" spans="1:15" ht="13.5" thickTop="1" thickBot="1">
      <c r="A68" s="862"/>
      <c r="B68" s="207"/>
      <c r="C68" s="208" t="s">
        <v>91</v>
      </c>
      <c r="D68" s="209">
        <f t="shared" si="10"/>
        <v>0</v>
      </c>
      <c r="E68" s="707"/>
      <c r="F68" s="707"/>
      <c r="G68" s="707"/>
      <c r="H68" s="707"/>
      <c r="I68" s="708"/>
      <c r="J68" s="708">
        <f t="shared" si="11"/>
        <v>0</v>
      </c>
      <c r="K68" s="707"/>
      <c r="L68" s="707"/>
      <c r="M68" s="707"/>
      <c r="N68" s="707"/>
      <c r="O68" s="708"/>
    </row>
    <row r="69" spans="1:15" ht="13.5" thickTop="1" thickBot="1">
      <c r="A69" s="862"/>
      <c r="B69" s="182" t="s">
        <v>176</v>
      </c>
      <c r="C69" s="182" t="s">
        <v>97</v>
      </c>
      <c r="D69" s="196">
        <f t="shared" si="10"/>
        <v>0</v>
      </c>
      <c r="E69" s="351"/>
      <c r="F69" s="351"/>
      <c r="G69" s="351"/>
      <c r="H69" s="477"/>
      <c r="I69" s="351"/>
      <c r="J69" s="351">
        <f t="shared" si="11"/>
        <v>0</v>
      </c>
      <c r="K69" s="351"/>
      <c r="L69" s="351"/>
      <c r="M69" s="351"/>
      <c r="N69" s="477"/>
      <c r="O69" s="351"/>
    </row>
    <row r="70" spans="1:15" ht="13.5" thickTop="1" thickBot="1">
      <c r="A70" s="862"/>
      <c r="B70" s="182" t="s">
        <v>175</v>
      </c>
      <c r="C70" s="182" t="s">
        <v>99</v>
      </c>
      <c r="D70" s="196">
        <f t="shared" si="10"/>
        <v>0</v>
      </c>
      <c r="E70" s="351"/>
      <c r="F70" s="351"/>
      <c r="G70" s="351"/>
      <c r="H70" s="477"/>
      <c r="I70" s="351"/>
      <c r="J70" s="351">
        <f t="shared" si="11"/>
        <v>0</v>
      </c>
      <c r="K70" s="351"/>
      <c r="L70" s="351"/>
      <c r="M70" s="351"/>
      <c r="N70" s="477"/>
      <c r="O70" s="351"/>
    </row>
    <row r="71" spans="1:15" ht="13.5" thickTop="1" thickBot="1">
      <c r="A71" s="862"/>
      <c r="B71" s="204" t="s">
        <v>177</v>
      </c>
      <c r="C71" s="205" t="s">
        <v>203</v>
      </c>
      <c r="D71" s="206" t="e">
        <f t="shared" si="10"/>
        <v>#REF!</v>
      </c>
      <c r="E71" s="750"/>
      <c r="F71" s="750"/>
      <c r="G71" s="338" t="e">
        <f>'10 месяцев'!G71+#REF!</f>
        <v>#REF!</v>
      </c>
      <c r="H71" s="338" t="e">
        <f>'10 месяцев'!H71+#REF!</f>
        <v>#REF!</v>
      </c>
      <c r="I71" s="477"/>
      <c r="J71" s="351" t="e">
        <f t="shared" si="11"/>
        <v>#REF!</v>
      </c>
      <c r="K71" s="476"/>
      <c r="L71" s="476"/>
      <c r="M71" s="338" t="e">
        <f>'10 месяцев'!M71+#REF!</f>
        <v>#REF!</v>
      </c>
      <c r="N71" s="338" t="e">
        <f>'10 месяцев'!N71+#REF!</f>
        <v>#REF!</v>
      </c>
      <c r="O71" s="338" t="e">
        <f>'10 месяцев'!O71+#REF!</f>
        <v>#REF!</v>
      </c>
    </row>
    <row r="72" spans="1:15" ht="13.5" thickTop="1" thickBot="1">
      <c r="A72" s="862"/>
      <c r="B72" s="182" t="s">
        <v>178</v>
      </c>
      <c r="C72" s="182" t="s">
        <v>88</v>
      </c>
      <c r="D72" s="196">
        <f t="shared" si="10"/>
        <v>0</v>
      </c>
      <c r="E72" s="351"/>
      <c r="F72" s="351"/>
      <c r="G72" s="351"/>
      <c r="H72" s="351"/>
      <c r="I72" s="351"/>
      <c r="J72" s="351">
        <f t="shared" si="11"/>
        <v>0</v>
      </c>
      <c r="K72" s="351"/>
      <c r="L72" s="351"/>
      <c r="M72" s="351"/>
      <c r="N72" s="351"/>
      <c r="O72" s="351"/>
    </row>
    <row r="73" spans="1:15" ht="13.5" thickTop="1" thickBot="1">
      <c r="A73" s="862"/>
      <c r="B73" s="207"/>
      <c r="C73" s="208" t="s">
        <v>89</v>
      </c>
      <c r="D73" s="209" t="e">
        <f t="shared" si="10"/>
        <v>#REF!</v>
      </c>
      <c r="E73" s="707"/>
      <c r="F73" s="707"/>
      <c r="G73" s="338" t="e">
        <f>'10 месяцев'!G73+#REF!</f>
        <v>#REF!</v>
      </c>
      <c r="H73" s="338" t="e">
        <f>'10 месяцев'!H73+#REF!</f>
        <v>#REF!</v>
      </c>
      <c r="I73" s="707"/>
      <c r="J73" s="751" t="e">
        <f t="shared" si="11"/>
        <v>#REF!</v>
      </c>
      <c r="K73" s="707"/>
      <c r="L73" s="707"/>
      <c r="M73" s="761" t="e">
        <f>'10 месяцев'!M73+#REF!</f>
        <v>#REF!</v>
      </c>
      <c r="N73" s="761" t="e">
        <f>'10 месяцев'!N73+#REF!</f>
        <v>#REF!</v>
      </c>
      <c r="O73" s="707"/>
    </row>
    <row r="74" spans="1:15" ht="13.5" thickTop="1" thickBot="1">
      <c r="A74" s="862"/>
      <c r="B74" s="207"/>
      <c r="C74" s="208" t="s">
        <v>90</v>
      </c>
      <c r="D74" s="209">
        <f t="shared" si="10"/>
        <v>0</v>
      </c>
      <c r="E74" s="707"/>
      <c r="F74" s="707"/>
      <c r="G74" s="707"/>
      <c r="H74" s="708"/>
      <c r="I74" s="708"/>
      <c r="J74" s="708">
        <f t="shared" si="11"/>
        <v>0</v>
      </c>
      <c r="K74" s="707"/>
      <c r="L74" s="707"/>
      <c r="M74" s="707"/>
      <c r="N74" s="708"/>
      <c r="O74" s="708"/>
    </row>
    <row r="75" spans="1:15" ht="13.5" thickTop="1" thickBot="1">
      <c r="A75" s="862"/>
      <c r="B75" s="207"/>
      <c r="C75" s="208" t="s">
        <v>91</v>
      </c>
      <c r="D75" s="209">
        <f t="shared" si="10"/>
        <v>0</v>
      </c>
      <c r="E75" s="707"/>
      <c r="F75" s="707"/>
      <c r="G75" s="707"/>
      <c r="H75" s="707"/>
      <c r="I75" s="708"/>
      <c r="J75" s="708">
        <f t="shared" si="11"/>
        <v>0</v>
      </c>
      <c r="K75" s="707"/>
      <c r="L75" s="707"/>
      <c r="M75" s="707"/>
      <c r="N75" s="707"/>
      <c r="O75" s="708"/>
    </row>
    <row r="76" spans="1:15" ht="13.5" thickTop="1" thickBot="1">
      <c r="A76" s="862"/>
      <c r="B76" s="182" t="s">
        <v>179</v>
      </c>
      <c r="C76" s="182" t="s">
        <v>93</v>
      </c>
      <c r="D76" s="196">
        <f t="shared" si="10"/>
        <v>0</v>
      </c>
      <c r="E76" s="351"/>
      <c r="F76" s="351"/>
      <c r="G76" s="709"/>
      <c r="H76" s="709"/>
      <c r="I76" s="351"/>
      <c r="J76" s="351">
        <f t="shared" si="11"/>
        <v>0</v>
      </c>
      <c r="K76" s="351"/>
      <c r="L76" s="351"/>
      <c r="M76" s="709"/>
      <c r="N76" s="709"/>
      <c r="O76" s="351"/>
    </row>
    <row r="77" spans="1:15" ht="13.5" thickTop="1" thickBot="1">
      <c r="A77" s="862"/>
      <c r="B77" s="182" t="s">
        <v>180</v>
      </c>
      <c r="C77" s="182" t="s">
        <v>95</v>
      </c>
      <c r="D77" s="213">
        <f t="shared" si="10"/>
        <v>0</v>
      </c>
      <c r="E77" s="752"/>
      <c r="F77" s="708"/>
      <c r="G77" s="338"/>
      <c r="H77" s="338"/>
      <c r="I77" s="351"/>
      <c r="J77" s="749">
        <f t="shared" si="11"/>
        <v>0</v>
      </c>
      <c r="K77" s="753"/>
      <c r="L77" s="754"/>
      <c r="M77" s="338"/>
      <c r="N77" s="338"/>
      <c r="O77" s="351"/>
    </row>
    <row r="78" spans="1:15" ht="13.5" thickTop="1" thickBot="1">
      <c r="A78" s="862"/>
      <c r="B78" s="207"/>
      <c r="C78" s="208" t="s">
        <v>89</v>
      </c>
      <c r="D78" s="209" t="e">
        <f t="shared" si="10"/>
        <v>#REF!</v>
      </c>
      <c r="E78" s="707"/>
      <c r="F78" s="707"/>
      <c r="G78" s="338" t="e">
        <f>'10 месяцев'!G78+#REF!</f>
        <v>#REF!</v>
      </c>
      <c r="H78" s="338" t="e">
        <f>'10 месяцев'!H78+#REF!</f>
        <v>#REF!</v>
      </c>
      <c r="I78" s="707"/>
      <c r="J78" s="708" t="e">
        <f t="shared" si="11"/>
        <v>#REF!</v>
      </c>
      <c r="K78" s="707"/>
      <c r="L78" s="707"/>
      <c r="M78" s="338" t="e">
        <f>'10 месяцев'!M78+#REF!</f>
        <v>#REF!</v>
      </c>
      <c r="N78" s="338" t="e">
        <f>'10 месяцев'!N78+#REF!</f>
        <v>#REF!</v>
      </c>
      <c r="O78" s="707"/>
    </row>
    <row r="79" spans="1:15" ht="13.5" thickTop="1" thickBot="1">
      <c r="A79" s="862"/>
      <c r="B79" s="207"/>
      <c r="C79" s="208" t="s">
        <v>90</v>
      </c>
      <c r="D79" s="209">
        <f t="shared" si="10"/>
        <v>0</v>
      </c>
      <c r="E79" s="707"/>
      <c r="F79" s="707"/>
      <c r="G79" s="707"/>
      <c r="H79" s="708"/>
      <c r="I79" s="708"/>
      <c r="J79" s="708">
        <f t="shared" si="11"/>
        <v>0</v>
      </c>
      <c r="K79" s="707"/>
      <c r="L79" s="707"/>
      <c r="M79" s="707"/>
      <c r="N79" s="708"/>
      <c r="O79" s="708"/>
    </row>
    <row r="80" spans="1:15" ht="13.5" thickTop="1" thickBot="1">
      <c r="A80" s="862"/>
      <c r="B80" s="207"/>
      <c r="C80" s="208" t="s">
        <v>91</v>
      </c>
      <c r="D80" s="209">
        <f t="shared" si="10"/>
        <v>0</v>
      </c>
      <c r="E80" s="707"/>
      <c r="F80" s="707"/>
      <c r="G80" s="707"/>
      <c r="H80" s="707"/>
      <c r="I80" s="708"/>
      <c r="J80" s="708">
        <f t="shared" si="11"/>
        <v>0</v>
      </c>
      <c r="K80" s="707"/>
      <c r="L80" s="707"/>
      <c r="M80" s="707"/>
      <c r="N80" s="707"/>
      <c r="O80" s="708"/>
    </row>
    <row r="81" spans="1:15" ht="13.5" thickTop="1" thickBot="1">
      <c r="A81" s="862"/>
      <c r="B81" s="182" t="s">
        <v>181</v>
      </c>
      <c r="C81" s="182" t="s">
        <v>97</v>
      </c>
      <c r="D81" s="196">
        <f t="shared" si="10"/>
        <v>0</v>
      </c>
      <c r="E81" s="351"/>
      <c r="F81" s="351"/>
      <c r="G81" s="351"/>
      <c r="H81" s="477"/>
      <c r="I81" s="351"/>
      <c r="J81" s="351">
        <f t="shared" si="11"/>
        <v>0</v>
      </c>
      <c r="K81" s="351"/>
      <c r="L81" s="351"/>
      <c r="M81" s="351"/>
      <c r="N81" s="698"/>
      <c r="O81" s="351"/>
    </row>
    <row r="82" spans="1:15" ht="13.5" thickTop="1" thickBot="1">
      <c r="A82" s="862"/>
      <c r="B82" s="182" t="s">
        <v>182</v>
      </c>
      <c r="C82" s="182" t="s">
        <v>99</v>
      </c>
      <c r="D82" s="196">
        <f t="shared" si="10"/>
        <v>0</v>
      </c>
      <c r="E82" s="351"/>
      <c r="F82" s="351"/>
      <c r="G82" s="351"/>
      <c r="H82" s="477"/>
      <c r="I82" s="351"/>
      <c r="J82" s="351">
        <f t="shared" si="11"/>
        <v>0</v>
      </c>
      <c r="K82" s="351"/>
      <c r="L82" s="351"/>
      <c r="M82" s="351"/>
      <c r="N82" s="477"/>
      <c r="O82" s="351"/>
    </row>
    <row r="83" spans="1:15" ht="13.5" thickTop="1" thickBot="1">
      <c r="A83" s="862"/>
      <c r="B83" s="204" t="s">
        <v>183</v>
      </c>
      <c r="C83" s="205" t="s">
        <v>189</v>
      </c>
      <c r="D83" s="196"/>
      <c r="E83" s="351"/>
      <c r="F83" s="338" t="e">
        <f>'10 месяцев'!F83+#REF!</f>
        <v>#REF!</v>
      </c>
      <c r="G83" s="351"/>
      <c r="H83" s="477"/>
      <c r="I83" s="351"/>
      <c r="J83" s="351"/>
      <c r="K83" s="351"/>
      <c r="L83" s="338" t="e">
        <f>'10 месяцев'!L83+#REF!</f>
        <v>#REF!</v>
      </c>
      <c r="M83" s="351"/>
      <c r="N83" s="477"/>
      <c r="O83" s="351"/>
    </row>
    <row r="84" spans="1:15" ht="13.5" thickTop="1" thickBot="1">
      <c r="A84" s="862"/>
      <c r="B84" s="182" t="s">
        <v>184</v>
      </c>
      <c r="C84" s="182" t="s">
        <v>88</v>
      </c>
      <c r="D84" s="196">
        <f t="shared" si="10"/>
        <v>0</v>
      </c>
      <c r="E84" s="351"/>
      <c r="F84" s="351"/>
      <c r="G84" s="351"/>
      <c r="H84" s="351"/>
      <c r="I84" s="351"/>
      <c r="J84" s="351">
        <f t="shared" si="11"/>
        <v>0</v>
      </c>
      <c r="K84" s="351"/>
      <c r="L84" s="351"/>
      <c r="M84" s="351"/>
      <c r="N84" s="351"/>
      <c r="O84" s="351"/>
    </row>
    <row r="85" spans="1:15" ht="13.5" thickTop="1" thickBot="1">
      <c r="A85" s="862"/>
      <c r="B85" s="207"/>
      <c r="C85" s="208" t="s">
        <v>89</v>
      </c>
      <c r="D85" s="209">
        <f t="shared" si="10"/>
        <v>0</v>
      </c>
      <c r="E85" s="707"/>
      <c r="F85" s="707"/>
      <c r="G85" s="708"/>
      <c r="H85" s="708"/>
      <c r="I85" s="707"/>
      <c r="J85" s="708">
        <f t="shared" si="11"/>
        <v>0</v>
      </c>
      <c r="K85" s="707"/>
      <c r="L85" s="707"/>
      <c r="M85" s="708"/>
      <c r="N85" s="708"/>
      <c r="O85" s="707"/>
    </row>
    <row r="86" spans="1:15" ht="13.5" thickTop="1" thickBot="1">
      <c r="A86" s="862"/>
      <c r="B86" s="207"/>
      <c r="C86" s="208" t="s">
        <v>90</v>
      </c>
      <c r="D86" s="209">
        <f t="shared" si="10"/>
        <v>0</v>
      </c>
      <c r="E86" s="707"/>
      <c r="F86" s="707"/>
      <c r="G86" s="707"/>
      <c r="H86" s="708"/>
      <c r="I86" s="708"/>
      <c r="J86" s="708">
        <f t="shared" si="11"/>
        <v>0</v>
      </c>
      <c r="K86" s="707"/>
      <c r="L86" s="707"/>
      <c r="M86" s="707"/>
      <c r="N86" s="708"/>
      <c r="O86" s="708"/>
    </row>
    <row r="87" spans="1:15" ht="13.5" thickTop="1" thickBot="1">
      <c r="A87" s="862"/>
      <c r="B87" s="207"/>
      <c r="C87" s="208" t="s">
        <v>91</v>
      </c>
      <c r="D87" s="209">
        <f t="shared" si="10"/>
        <v>0</v>
      </c>
      <c r="E87" s="707"/>
      <c r="F87" s="707"/>
      <c r="G87" s="707"/>
      <c r="H87" s="707"/>
      <c r="I87" s="708"/>
      <c r="J87" s="708">
        <f t="shared" si="11"/>
        <v>0</v>
      </c>
      <c r="K87" s="707"/>
      <c r="L87" s="707"/>
      <c r="M87" s="707"/>
      <c r="N87" s="707"/>
      <c r="O87" s="708"/>
    </row>
    <row r="88" spans="1:15" ht="13.5" thickTop="1" thickBot="1">
      <c r="A88" s="862"/>
      <c r="B88" s="182" t="s">
        <v>185</v>
      </c>
      <c r="C88" s="182" t="s">
        <v>93</v>
      </c>
      <c r="D88" s="196">
        <f t="shared" si="10"/>
        <v>0</v>
      </c>
      <c r="E88" s="351"/>
      <c r="F88" s="351"/>
      <c r="G88" s="709"/>
      <c r="H88" s="709"/>
      <c r="I88" s="351"/>
      <c r="J88" s="351">
        <f t="shared" si="11"/>
        <v>0</v>
      </c>
      <c r="K88" s="351"/>
      <c r="L88" s="351"/>
      <c r="M88" s="709"/>
      <c r="N88" s="709"/>
      <c r="O88" s="351"/>
    </row>
    <row r="89" spans="1:15" ht="13.5" thickTop="1" thickBot="1">
      <c r="A89" s="862"/>
      <c r="B89" s="182" t="s">
        <v>186</v>
      </c>
      <c r="C89" s="182" t="s">
        <v>95</v>
      </c>
      <c r="D89" s="213" t="e">
        <f t="shared" si="10"/>
        <v>#REF!</v>
      </c>
      <c r="E89" s="752"/>
      <c r="F89" s="338" t="e">
        <f>'10 месяцев'!F89+#REF!</f>
        <v>#REF!</v>
      </c>
      <c r="G89" s="708"/>
      <c r="H89" s="708"/>
      <c r="I89" s="351"/>
      <c r="J89" s="749" t="e">
        <f t="shared" si="11"/>
        <v>#REF!</v>
      </c>
      <c r="K89" s="753"/>
      <c r="L89" s="338" t="e">
        <f>'10 месяцев'!L89+#REF!</f>
        <v>#REF!</v>
      </c>
      <c r="M89" s="708"/>
      <c r="N89" s="708"/>
      <c r="O89" s="351"/>
    </row>
    <row r="90" spans="1:15" ht="13.5" thickTop="1" thickBot="1">
      <c r="A90" s="862"/>
      <c r="B90" s="207"/>
      <c r="C90" s="208" t="s">
        <v>89</v>
      </c>
      <c r="D90" s="209">
        <f t="shared" si="10"/>
        <v>0</v>
      </c>
      <c r="E90" s="707"/>
      <c r="F90" s="707"/>
      <c r="G90" s="708"/>
      <c r="H90" s="708"/>
      <c r="I90" s="707"/>
      <c r="J90" s="708">
        <f t="shared" si="11"/>
        <v>0</v>
      </c>
      <c r="K90" s="707"/>
      <c r="L90" s="707"/>
      <c r="M90" s="708"/>
      <c r="N90" s="708"/>
      <c r="O90" s="707"/>
    </row>
    <row r="91" spans="1:15" ht="13.5" thickTop="1" thickBot="1">
      <c r="A91" s="862"/>
      <c r="B91" s="207"/>
      <c r="C91" s="208" t="s">
        <v>90</v>
      </c>
      <c r="D91" s="209">
        <f t="shared" si="10"/>
        <v>0</v>
      </c>
      <c r="E91" s="707"/>
      <c r="F91" s="707"/>
      <c r="G91" s="707"/>
      <c r="H91" s="708"/>
      <c r="I91" s="708"/>
      <c r="J91" s="708">
        <f t="shared" si="11"/>
        <v>0</v>
      </c>
      <c r="K91" s="707"/>
      <c r="L91" s="707"/>
      <c r="M91" s="707"/>
      <c r="N91" s="708"/>
      <c r="O91" s="708"/>
    </row>
    <row r="92" spans="1:15" ht="13.5" thickTop="1" thickBot="1">
      <c r="A92" s="862"/>
      <c r="B92" s="207"/>
      <c r="C92" s="208" t="s">
        <v>91</v>
      </c>
      <c r="D92" s="209">
        <f t="shared" si="10"/>
        <v>0</v>
      </c>
      <c r="E92" s="707"/>
      <c r="F92" s="707"/>
      <c r="G92" s="707"/>
      <c r="H92" s="707"/>
      <c r="I92" s="708"/>
      <c r="J92" s="708">
        <f t="shared" si="11"/>
        <v>0</v>
      </c>
      <c r="K92" s="707"/>
      <c r="L92" s="707"/>
      <c r="M92" s="707"/>
      <c r="N92" s="707"/>
      <c r="O92" s="708"/>
    </row>
    <row r="93" spans="1:15" ht="13.5" thickTop="1" thickBot="1">
      <c r="A93" s="862"/>
      <c r="B93" s="182" t="s">
        <v>187</v>
      </c>
      <c r="C93" s="182" t="s">
        <v>97</v>
      </c>
      <c r="D93" s="196">
        <f t="shared" si="10"/>
        <v>0</v>
      </c>
      <c r="E93" s="351"/>
      <c r="F93" s="351"/>
      <c r="G93" s="351"/>
      <c r="H93" s="477"/>
      <c r="I93" s="351"/>
      <c r="J93" s="351">
        <f t="shared" si="11"/>
        <v>0</v>
      </c>
      <c r="K93" s="351"/>
      <c r="L93" s="351"/>
      <c r="M93" s="351"/>
      <c r="N93" s="698"/>
      <c r="O93" s="351"/>
    </row>
    <row r="94" spans="1:15" ht="13.5" thickTop="1" thickBot="1">
      <c r="A94" s="862"/>
      <c r="B94" s="182" t="s">
        <v>188</v>
      </c>
      <c r="C94" s="182" t="s">
        <v>99</v>
      </c>
      <c r="D94" s="196">
        <f t="shared" si="10"/>
        <v>0</v>
      </c>
      <c r="E94" s="351"/>
      <c r="F94" s="351"/>
      <c r="G94" s="351"/>
      <c r="H94" s="477"/>
      <c r="I94" s="351"/>
      <c r="J94" s="351">
        <f t="shared" si="11"/>
        <v>0</v>
      </c>
      <c r="K94" s="351"/>
      <c r="L94" s="351"/>
      <c r="M94" s="351"/>
      <c r="N94" s="477"/>
      <c r="O94" s="351"/>
    </row>
    <row r="95" spans="1:15" ht="13.5" thickTop="1" thickBot="1">
      <c r="A95" s="862"/>
      <c r="B95" s="204" t="s">
        <v>197</v>
      </c>
      <c r="C95" s="595" t="s">
        <v>204</v>
      </c>
      <c r="D95" s="325" t="e">
        <f t="shared" ref="D95:D106" si="12">SUM(E95:I95)</f>
        <v>#REF!</v>
      </c>
      <c r="E95" s="750"/>
      <c r="F95" s="693"/>
      <c r="G95" s="750"/>
      <c r="H95" s="338" t="e">
        <f>'10 месяцев'!H95+#REF!</f>
        <v>#REF!</v>
      </c>
      <c r="I95" s="750"/>
      <c r="J95" s="351" t="e">
        <f t="shared" ref="J95:J106" si="13">SUM(K95:O95)</f>
        <v>#REF!</v>
      </c>
      <c r="K95" s="750"/>
      <c r="L95" s="693"/>
      <c r="M95" s="477"/>
      <c r="N95" s="338" t="e">
        <f>'10 месяцев'!N95+#REF!</f>
        <v>#REF!</v>
      </c>
      <c r="O95" s="477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2"/>
        <v>0</v>
      </c>
      <c r="E96" s="693"/>
      <c r="F96" s="693"/>
      <c r="G96" s="693"/>
      <c r="H96" s="693"/>
      <c r="I96" s="693"/>
      <c r="J96" s="351">
        <f t="shared" si="13"/>
        <v>0</v>
      </c>
      <c r="K96" s="351"/>
      <c r="L96" s="351"/>
      <c r="M96" s="351"/>
      <c r="N96" s="693"/>
      <c r="O96" s="351"/>
    </row>
    <row r="97" spans="1:15" ht="13.5" thickTop="1" thickBot="1">
      <c r="A97" s="862"/>
      <c r="B97" s="207"/>
      <c r="C97" s="208" t="s">
        <v>89</v>
      </c>
      <c r="D97" s="326" t="e">
        <f t="shared" si="12"/>
        <v>#REF!</v>
      </c>
      <c r="E97" s="755"/>
      <c r="F97" s="755"/>
      <c r="G97" s="756"/>
      <c r="H97" s="338" t="e">
        <f>'10 месяцев'!H97+#REF!</f>
        <v>#REF!</v>
      </c>
      <c r="I97" s="755"/>
      <c r="J97" s="708" t="e">
        <f t="shared" si="13"/>
        <v>#REF!</v>
      </c>
      <c r="K97" s="707"/>
      <c r="L97" s="707"/>
      <c r="M97" s="708"/>
      <c r="N97" s="338" t="e">
        <f>'10 месяцев'!N97+#REF!</f>
        <v>#REF!</v>
      </c>
      <c r="O97" s="707"/>
    </row>
    <row r="98" spans="1:15" ht="13.5" thickTop="1" thickBot="1">
      <c r="A98" s="862"/>
      <c r="B98" s="207"/>
      <c r="C98" s="208" t="s">
        <v>90</v>
      </c>
      <c r="D98" s="326" t="e">
        <f t="shared" si="12"/>
        <v>#REF!</v>
      </c>
      <c r="E98" s="755"/>
      <c r="F98" s="755"/>
      <c r="G98" s="755"/>
      <c r="H98" s="338" t="e">
        <f>'10 месяцев'!H98+#REF!</f>
        <v>#REF!</v>
      </c>
      <c r="I98" s="756"/>
      <c r="J98" s="708" t="e">
        <f t="shared" si="13"/>
        <v>#REF!</v>
      </c>
      <c r="K98" s="707"/>
      <c r="L98" s="707"/>
      <c r="M98" s="707"/>
      <c r="N98" s="338" t="e">
        <f>'10 месяцев'!N98+#REF!</f>
        <v>#REF!</v>
      </c>
      <c r="O98" s="708"/>
    </row>
    <row r="99" spans="1:15" ht="13.5" thickTop="1" thickBot="1">
      <c r="A99" s="862"/>
      <c r="B99" s="207"/>
      <c r="C99" s="208" t="s">
        <v>91</v>
      </c>
      <c r="D99" s="326">
        <f t="shared" si="12"/>
        <v>0</v>
      </c>
      <c r="E99" s="755"/>
      <c r="F99" s="755"/>
      <c r="G99" s="755"/>
      <c r="H99" s="755"/>
      <c r="I99" s="756"/>
      <c r="J99" s="708">
        <f t="shared" si="13"/>
        <v>0</v>
      </c>
      <c r="K99" s="707"/>
      <c r="L99" s="707"/>
      <c r="M99" s="707"/>
      <c r="N99" s="707"/>
      <c r="O99" s="708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2"/>
        <v>0</v>
      </c>
      <c r="E100" s="693"/>
      <c r="F100" s="693"/>
      <c r="G100" s="757"/>
      <c r="H100" s="757"/>
      <c r="I100" s="693"/>
      <c r="J100" s="351">
        <f t="shared" si="13"/>
        <v>0</v>
      </c>
      <c r="K100" s="351"/>
      <c r="L100" s="351"/>
      <c r="M100" s="709"/>
      <c r="N100" s="709"/>
      <c r="O100" s="351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2"/>
        <v>0</v>
      </c>
      <c r="E101" s="758"/>
      <c r="F101" s="759"/>
      <c r="G101" s="756"/>
      <c r="H101" s="756"/>
      <c r="I101" s="693"/>
      <c r="J101" s="749">
        <f t="shared" si="13"/>
        <v>0</v>
      </c>
      <c r="K101" s="760"/>
      <c r="L101" s="754"/>
      <c r="M101" s="708"/>
      <c r="N101" s="708"/>
      <c r="O101" s="351"/>
    </row>
    <row r="102" spans="1:15" ht="13.5" thickTop="1" thickBot="1">
      <c r="A102" s="862"/>
      <c r="B102" s="207"/>
      <c r="C102" s="208" t="s">
        <v>89</v>
      </c>
      <c r="D102" s="326">
        <f t="shared" si="12"/>
        <v>0</v>
      </c>
      <c r="E102" s="755"/>
      <c r="F102" s="755"/>
      <c r="G102" s="756"/>
      <c r="H102" s="756"/>
      <c r="I102" s="755"/>
      <c r="J102" s="708">
        <f t="shared" si="13"/>
        <v>0</v>
      </c>
      <c r="K102" s="707"/>
      <c r="L102" s="707"/>
      <c r="M102" s="708"/>
      <c r="N102" s="708"/>
      <c r="O102" s="707"/>
    </row>
    <row r="103" spans="1:15" ht="13.5" thickTop="1" thickBot="1">
      <c r="A103" s="862"/>
      <c r="B103" s="207"/>
      <c r="C103" s="208" t="s">
        <v>90</v>
      </c>
      <c r="D103" s="326">
        <f t="shared" si="12"/>
        <v>0</v>
      </c>
      <c r="E103" s="755"/>
      <c r="F103" s="755"/>
      <c r="G103" s="755"/>
      <c r="H103" s="756"/>
      <c r="I103" s="756"/>
      <c r="J103" s="708">
        <f t="shared" si="13"/>
        <v>0</v>
      </c>
      <c r="K103" s="707"/>
      <c r="L103" s="707"/>
      <c r="M103" s="707"/>
      <c r="N103" s="708"/>
      <c r="O103" s="708"/>
    </row>
    <row r="104" spans="1:15" ht="13.5" thickTop="1" thickBot="1">
      <c r="A104" s="862"/>
      <c r="B104" s="207"/>
      <c r="C104" s="208" t="s">
        <v>91</v>
      </c>
      <c r="D104" s="326">
        <f t="shared" si="12"/>
        <v>0</v>
      </c>
      <c r="E104" s="755"/>
      <c r="F104" s="755"/>
      <c r="G104" s="755"/>
      <c r="H104" s="755"/>
      <c r="I104" s="756"/>
      <c r="J104" s="708">
        <f t="shared" si="13"/>
        <v>0</v>
      </c>
      <c r="K104" s="707"/>
      <c r="L104" s="707"/>
      <c r="M104" s="707"/>
      <c r="N104" s="707"/>
      <c r="O104" s="708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2"/>
        <v>0</v>
      </c>
      <c r="E105" s="693"/>
      <c r="F105" s="693"/>
      <c r="G105" s="693"/>
      <c r="H105" s="750"/>
      <c r="I105" s="693"/>
      <c r="J105" s="351">
        <f t="shared" si="13"/>
        <v>0</v>
      </c>
      <c r="K105" s="351"/>
      <c r="L105" s="351"/>
      <c r="M105" s="351"/>
      <c r="N105" s="477"/>
      <c r="O105" s="351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2"/>
        <v>0</v>
      </c>
      <c r="E106" s="693"/>
      <c r="F106" s="693"/>
      <c r="G106" s="693"/>
      <c r="H106" s="750"/>
      <c r="I106" s="693"/>
      <c r="J106" s="351">
        <f t="shared" si="13"/>
        <v>0</v>
      </c>
      <c r="K106" s="351"/>
      <c r="L106" s="351"/>
      <c r="M106" s="351"/>
      <c r="N106" s="351"/>
      <c r="O106" s="351"/>
    </row>
    <row r="107" spans="1:15" ht="13.5" thickTop="1" thickBot="1">
      <c r="A107" s="862"/>
      <c r="B107" s="204" t="s">
        <v>234</v>
      </c>
      <c r="C107" s="595" t="s">
        <v>235</v>
      </c>
      <c r="D107" s="325" t="e">
        <f t="shared" ref="D107:D118" si="14">SUM(E107:I107)</f>
        <v>#REF!</v>
      </c>
      <c r="E107" s="750"/>
      <c r="F107" s="693"/>
      <c r="G107" s="750"/>
      <c r="H107" s="338" t="e">
        <f>'10 месяцев'!H107+#REF!</f>
        <v>#REF!</v>
      </c>
      <c r="I107" s="750"/>
      <c r="J107" s="351" t="e">
        <f t="shared" ref="J107:J118" si="15">SUM(K107:O107)</f>
        <v>#REF!</v>
      </c>
      <c r="K107" s="750"/>
      <c r="L107" s="693"/>
      <c r="M107" s="477"/>
      <c r="N107" s="338" t="e">
        <f>'10 месяцев'!N107+#REF!</f>
        <v>#REF!</v>
      </c>
      <c r="O107" s="477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4"/>
        <v>0</v>
      </c>
      <c r="E108" s="693"/>
      <c r="F108" s="693"/>
      <c r="G108" s="693"/>
      <c r="H108" s="693"/>
      <c r="I108" s="693"/>
      <c r="J108" s="351">
        <f t="shared" si="15"/>
        <v>0</v>
      </c>
      <c r="K108" s="351"/>
      <c r="L108" s="351"/>
      <c r="M108" s="351"/>
      <c r="N108" s="351"/>
      <c r="O108" s="351"/>
    </row>
    <row r="109" spans="1:15" ht="13.5" thickTop="1" thickBot="1">
      <c r="A109" s="862"/>
      <c r="B109" s="207"/>
      <c r="C109" s="208" t="s">
        <v>89</v>
      </c>
      <c r="D109" s="326" t="e">
        <f t="shared" si="14"/>
        <v>#REF!</v>
      </c>
      <c r="E109" s="755"/>
      <c r="F109" s="755"/>
      <c r="G109" s="756"/>
      <c r="H109" s="338" t="e">
        <f>'10 месяцев'!H109+#REF!</f>
        <v>#REF!</v>
      </c>
      <c r="I109" s="755"/>
      <c r="J109" s="708" t="e">
        <f t="shared" si="15"/>
        <v>#REF!</v>
      </c>
      <c r="K109" s="707"/>
      <c r="L109" s="707"/>
      <c r="M109" s="708"/>
      <c r="N109" s="338" t="e">
        <f>'10 месяцев'!N109+#REF!</f>
        <v>#REF!</v>
      </c>
      <c r="O109" s="707"/>
    </row>
    <row r="110" spans="1:15" ht="13.5" thickTop="1" thickBot="1">
      <c r="A110" s="862"/>
      <c r="B110" s="207"/>
      <c r="C110" s="208" t="s">
        <v>90</v>
      </c>
      <c r="D110" s="326">
        <f t="shared" si="14"/>
        <v>0</v>
      </c>
      <c r="E110" s="755"/>
      <c r="F110" s="755"/>
      <c r="G110" s="755"/>
      <c r="H110" s="476"/>
      <c r="I110" s="756"/>
      <c r="J110" s="708">
        <f t="shared" si="15"/>
        <v>0</v>
      </c>
      <c r="K110" s="707"/>
      <c r="L110" s="707"/>
      <c r="M110" s="707"/>
      <c r="N110" s="699"/>
      <c r="O110" s="708"/>
    </row>
    <row r="111" spans="1:15" ht="13.5" thickTop="1" thickBot="1">
      <c r="A111" s="862"/>
      <c r="B111" s="207"/>
      <c r="C111" s="208" t="s">
        <v>91</v>
      </c>
      <c r="D111" s="326">
        <f t="shared" si="14"/>
        <v>0</v>
      </c>
      <c r="E111" s="755"/>
      <c r="F111" s="755"/>
      <c r="G111" s="755"/>
      <c r="H111" s="755"/>
      <c r="I111" s="756"/>
      <c r="J111" s="708">
        <f t="shared" si="15"/>
        <v>0</v>
      </c>
      <c r="K111" s="707"/>
      <c r="L111" s="707"/>
      <c r="M111" s="707"/>
      <c r="N111" s="707"/>
      <c r="O111" s="708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4"/>
        <v>0</v>
      </c>
      <c r="E112" s="693"/>
      <c r="F112" s="693"/>
      <c r="G112" s="757"/>
      <c r="H112" s="757"/>
      <c r="I112" s="693"/>
      <c r="J112" s="351">
        <f t="shared" si="15"/>
        <v>0</v>
      </c>
      <c r="K112" s="351"/>
      <c r="L112" s="351"/>
      <c r="M112" s="709"/>
      <c r="N112" s="709"/>
      <c r="O112" s="351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4"/>
        <v>0</v>
      </c>
      <c r="E113" s="758"/>
      <c r="F113" s="759"/>
      <c r="G113" s="756"/>
      <c r="H113" s="756"/>
      <c r="I113" s="693"/>
      <c r="J113" s="749">
        <f t="shared" si="15"/>
        <v>0</v>
      </c>
      <c r="K113" s="760"/>
      <c r="L113" s="754"/>
      <c r="M113" s="708"/>
      <c r="N113" s="708"/>
      <c r="O113" s="351"/>
    </row>
    <row r="114" spans="1:15" ht="13.5" thickTop="1" thickBot="1">
      <c r="A114" s="862"/>
      <c r="B114" s="207"/>
      <c r="C114" s="208" t="s">
        <v>89</v>
      </c>
      <c r="D114" s="326">
        <f t="shared" si="14"/>
        <v>0</v>
      </c>
      <c r="E114" s="755"/>
      <c r="F114" s="755"/>
      <c r="G114" s="756"/>
      <c r="H114" s="756"/>
      <c r="I114" s="755"/>
      <c r="J114" s="708">
        <f t="shared" si="15"/>
        <v>0</v>
      </c>
      <c r="K114" s="707"/>
      <c r="L114" s="707"/>
      <c r="M114" s="708"/>
      <c r="N114" s="708"/>
      <c r="O114" s="707"/>
    </row>
    <row r="115" spans="1:15" ht="13.5" thickTop="1" thickBot="1">
      <c r="A115" s="862"/>
      <c r="B115" s="207"/>
      <c r="C115" s="208" t="s">
        <v>90</v>
      </c>
      <c r="D115" s="326">
        <f t="shared" si="14"/>
        <v>0</v>
      </c>
      <c r="E115" s="755"/>
      <c r="F115" s="755"/>
      <c r="G115" s="755"/>
      <c r="H115" s="756"/>
      <c r="I115" s="756"/>
      <c r="J115" s="708">
        <f t="shared" si="15"/>
        <v>0</v>
      </c>
      <c r="K115" s="707"/>
      <c r="L115" s="707"/>
      <c r="M115" s="707"/>
      <c r="N115" s="708"/>
      <c r="O115" s="708"/>
    </row>
    <row r="116" spans="1:15" ht="13.5" thickTop="1" thickBot="1">
      <c r="A116" s="862"/>
      <c r="B116" s="207"/>
      <c r="C116" s="208" t="s">
        <v>91</v>
      </c>
      <c r="D116" s="326">
        <f t="shared" si="14"/>
        <v>0</v>
      </c>
      <c r="E116" s="755"/>
      <c r="F116" s="755"/>
      <c r="G116" s="755"/>
      <c r="H116" s="755"/>
      <c r="I116" s="756"/>
      <c r="J116" s="708">
        <f t="shared" si="15"/>
        <v>0</v>
      </c>
      <c r="K116" s="707"/>
      <c r="L116" s="707"/>
      <c r="M116" s="707"/>
      <c r="N116" s="707"/>
      <c r="O116" s="708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4"/>
        <v>0</v>
      </c>
      <c r="E117" s="693"/>
      <c r="F117" s="693"/>
      <c r="G117" s="693"/>
      <c r="H117" s="693"/>
      <c r="I117" s="693"/>
      <c r="J117" s="351">
        <f t="shared" si="15"/>
        <v>0</v>
      </c>
      <c r="K117" s="351"/>
      <c r="L117" s="351"/>
      <c r="M117" s="351"/>
      <c r="N117" s="477"/>
      <c r="O117" s="351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4"/>
        <v>0</v>
      </c>
      <c r="E118" s="693"/>
      <c r="F118" s="693"/>
      <c r="G118" s="693"/>
      <c r="H118" s="750"/>
      <c r="I118" s="693"/>
      <c r="J118" s="351">
        <f t="shared" si="15"/>
        <v>0</v>
      </c>
      <c r="K118" s="351"/>
      <c r="L118" s="351"/>
      <c r="M118" s="351"/>
      <c r="N118" s="351"/>
      <c r="O118" s="351"/>
    </row>
    <row r="119" spans="1:15" ht="13.5" thickTop="1" thickBot="1">
      <c r="A119" s="862"/>
      <c r="B119" s="204" t="s">
        <v>242</v>
      </c>
      <c r="C119" s="595" t="s">
        <v>248</v>
      </c>
      <c r="D119" s="325" t="e">
        <f t="shared" ref="D119:D130" si="16">SUM(E119:I119)</f>
        <v>#REF!</v>
      </c>
      <c r="E119" s="750"/>
      <c r="F119" s="693"/>
      <c r="G119" s="750"/>
      <c r="H119" s="338" t="e">
        <f>'10 месяцев'!H119+#REF!</f>
        <v>#REF!</v>
      </c>
      <c r="I119" s="750"/>
      <c r="J119" s="351" t="e">
        <f t="shared" ref="J119:J130" si="17">SUM(K119:O119)</f>
        <v>#REF!</v>
      </c>
      <c r="K119" s="750"/>
      <c r="L119" s="693"/>
      <c r="M119" s="477"/>
      <c r="N119" s="338" t="e">
        <f>'10 месяцев'!N119+#REF!</f>
        <v>#REF!</v>
      </c>
      <c r="O119" s="477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16"/>
        <v>0</v>
      </c>
      <c r="E120" s="693"/>
      <c r="F120" s="693"/>
      <c r="G120" s="693"/>
      <c r="H120" s="351"/>
      <c r="I120" s="693"/>
      <c r="J120" s="351">
        <f t="shared" si="17"/>
        <v>0</v>
      </c>
      <c r="K120" s="351"/>
      <c r="L120" s="351"/>
      <c r="M120" s="351"/>
      <c r="N120" s="351"/>
      <c r="O120" s="351"/>
    </row>
    <row r="121" spans="1:15" ht="13.5" thickTop="1" thickBot="1">
      <c r="A121" s="862"/>
      <c r="B121" s="207"/>
      <c r="C121" s="208" t="s">
        <v>89</v>
      </c>
      <c r="D121" s="326" t="e">
        <f t="shared" si="16"/>
        <v>#REF!</v>
      </c>
      <c r="E121" s="755"/>
      <c r="F121" s="755"/>
      <c r="G121" s="756"/>
      <c r="H121" s="338" t="e">
        <f>'10 месяцев'!H121+#REF!</f>
        <v>#REF!</v>
      </c>
      <c r="I121" s="755"/>
      <c r="J121" s="708" t="e">
        <f t="shared" si="17"/>
        <v>#REF!</v>
      </c>
      <c r="K121" s="707"/>
      <c r="L121" s="707"/>
      <c r="M121" s="708"/>
      <c r="N121" s="338" t="e">
        <f>'10 месяцев'!N121+#REF!</f>
        <v>#REF!</v>
      </c>
      <c r="O121" s="707"/>
    </row>
    <row r="122" spans="1:15" ht="13.5" thickTop="1" thickBot="1">
      <c r="A122" s="862"/>
      <c r="B122" s="207"/>
      <c r="C122" s="208" t="s">
        <v>90</v>
      </c>
      <c r="D122" s="326">
        <f t="shared" si="16"/>
        <v>0</v>
      </c>
      <c r="E122" s="755"/>
      <c r="F122" s="755"/>
      <c r="G122" s="755"/>
      <c r="H122" s="476"/>
      <c r="I122" s="756"/>
      <c r="J122" s="708">
        <f t="shared" si="17"/>
        <v>0</v>
      </c>
      <c r="K122" s="707"/>
      <c r="L122" s="707"/>
      <c r="M122" s="707"/>
      <c r="N122" s="699"/>
      <c r="O122" s="708"/>
    </row>
    <row r="123" spans="1:15" ht="13.5" thickTop="1" thickBot="1">
      <c r="A123" s="862"/>
      <c r="B123" s="207"/>
      <c r="C123" s="208" t="s">
        <v>91</v>
      </c>
      <c r="D123" s="326">
        <f t="shared" si="16"/>
        <v>0</v>
      </c>
      <c r="E123" s="755"/>
      <c r="F123" s="755"/>
      <c r="G123" s="755"/>
      <c r="H123" s="755"/>
      <c r="I123" s="756"/>
      <c r="J123" s="708">
        <f t="shared" si="17"/>
        <v>0</v>
      </c>
      <c r="K123" s="707"/>
      <c r="L123" s="707"/>
      <c r="M123" s="707"/>
      <c r="N123" s="707"/>
      <c r="O123" s="708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16"/>
        <v>0</v>
      </c>
      <c r="E124" s="693"/>
      <c r="F124" s="693"/>
      <c r="G124" s="757"/>
      <c r="H124" s="757"/>
      <c r="I124" s="693"/>
      <c r="J124" s="351">
        <f t="shared" si="17"/>
        <v>0</v>
      </c>
      <c r="K124" s="351"/>
      <c r="L124" s="351"/>
      <c r="M124" s="709"/>
      <c r="N124" s="709"/>
      <c r="O124" s="351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16"/>
        <v>0</v>
      </c>
      <c r="E125" s="758"/>
      <c r="F125" s="759"/>
      <c r="G125" s="756"/>
      <c r="H125" s="756"/>
      <c r="I125" s="693"/>
      <c r="J125" s="749">
        <f t="shared" si="17"/>
        <v>0</v>
      </c>
      <c r="K125" s="760"/>
      <c r="L125" s="754"/>
      <c r="M125" s="708"/>
      <c r="N125" s="708"/>
      <c r="O125" s="351"/>
    </row>
    <row r="126" spans="1:15" ht="13.5" thickTop="1" thickBot="1">
      <c r="A126" s="862"/>
      <c r="B126" s="207"/>
      <c r="C126" s="208" t="s">
        <v>89</v>
      </c>
      <c r="D126" s="326">
        <f t="shared" si="16"/>
        <v>0</v>
      </c>
      <c r="E126" s="755"/>
      <c r="F126" s="755"/>
      <c r="G126" s="756"/>
      <c r="H126" s="756"/>
      <c r="I126" s="755"/>
      <c r="J126" s="708">
        <f t="shared" si="17"/>
        <v>0</v>
      </c>
      <c r="K126" s="707"/>
      <c r="L126" s="707"/>
      <c r="M126" s="708"/>
      <c r="N126" s="708"/>
      <c r="O126" s="707"/>
    </row>
    <row r="127" spans="1:15" ht="13.5" thickTop="1" thickBot="1">
      <c r="A127" s="862"/>
      <c r="B127" s="207"/>
      <c r="C127" s="208" t="s">
        <v>90</v>
      </c>
      <c r="D127" s="326">
        <f t="shared" si="16"/>
        <v>0</v>
      </c>
      <c r="E127" s="755"/>
      <c r="F127" s="755"/>
      <c r="G127" s="755"/>
      <c r="H127" s="756"/>
      <c r="I127" s="756"/>
      <c r="J127" s="708">
        <f t="shared" si="17"/>
        <v>0</v>
      </c>
      <c r="K127" s="707"/>
      <c r="L127" s="707"/>
      <c r="M127" s="707"/>
      <c r="N127" s="708"/>
      <c r="O127" s="708"/>
    </row>
    <row r="128" spans="1:15" ht="13.5" thickTop="1" thickBot="1">
      <c r="A128" s="862"/>
      <c r="B128" s="207"/>
      <c r="C128" s="208" t="s">
        <v>91</v>
      </c>
      <c r="D128" s="326">
        <f t="shared" si="16"/>
        <v>0</v>
      </c>
      <c r="E128" s="755"/>
      <c r="F128" s="755"/>
      <c r="G128" s="755"/>
      <c r="H128" s="755"/>
      <c r="I128" s="756"/>
      <c r="J128" s="708">
        <f t="shared" si="17"/>
        <v>0</v>
      </c>
      <c r="K128" s="707"/>
      <c r="L128" s="707"/>
      <c r="M128" s="707"/>
      <c r="N128" s="707"/>
      <c r="O128" s="708"/>
    </row>
    <row r="129" spans="1:16" ht="13.5" thickTop="1" thickBot="1">
      <c r="A129" s="862"/>
      <c r="B129" s="182" t="s">
        <v>246</v>
      </c>
      <c r="C129" s="182" t="s">
        <v>97</v>
      </c>
      <c r="D129" s="324">
        <f t="shared" si="16"/>
        <v>0</v>
      </c>
      <c r="E129" s="693"/>
      <c r="F129" s="693"/>
      <c r="G129" s="693"/>
      <c r="H129" s="693"/>
      <c r="I129" s="693"/>
      <c r="J129" s="351">
        <f t="shared" si="17"/>
        <v>0</v>
      </c>
      <c r="K129" s="351"/>
      <c r="L129" s="351"/>
      <c r="M129" s="351"/>
      <c r="N129" s="477"/>
      <c r="O129" s="351"/>
    </row>
    <row r="130" spans="1:16" ht="13.5" thickTop="1" thickBot="1">
      <c r="A130" s="862"/>
      <c r="B130" s="182" t="s">
        <v>247</v>
      </c>
      <c r="C130" s="182" t="s">
        <v>99</v>
      </c>
      <c r="D130" s="324">
        <f t="shared" si="16"/>
        <v>0</v>
      </c>
      <c r="E130" s="693"/>
      <c r="F130" s="693"/>
      <c r="G130" s="693"/>
      <c r="H130" s="750"/>
      <c r="I130" s="693"/>
      <c r="J130" s="351">
        <f t="shared" si="17"/>
        <v>0</v>
      </c>
      <c r="K130" s="351"/>
      <c r="L130" s="351"/>
      <c r="M130" s="351"/>
      <c r="N130" s="351"/>
      <c r="O130" s="351"/>
    </row>
    <row r="131" spans="1:16" ht="13.5" thickTop="1" thickBot="1">
      <c r="A131" s="862"/>
      <c r="B131" s="204" t="s">
        <v>250</v>
      </c>
      <c r="C131" s="595" t="s">
        <v>249</v>
      </c>
      <c r="D131" s="325" t="e">
        <f t="shared" ref="D131:D142" si="18">SUM(E131:I131)</f>
        <v>#REF!</v>
      </c>
      <c r="E131" s="750"/>
      <c r="F131" s="693"/>
      <c r="G131" s="750"/>
      <c r="H131" s="338" t="e">
        <f>'10 месяцев'!H131+#REF!</f>
        <v>#REF!</v>
      </c>
      <c r="I131" s="338" t="e">
        <f>'10 месяцев'!I131+#REF!</f>
        <v>#REF!</v>
      </c>
      <c r="J131" s="351" t="e">
        <f t="shared" ref="J131:J142" si="19">SUM(K131:O131)</f>
        <v>#REF!</v>
      </c>
      <c r="K131" s="750"/>
      <c r="L131" s="693"/>
      <c r="M131" s="477"/>
      <c r="N131" s="338" t="e">
        <f>'10 месяцев'!N131+#REF!</f>
        <v>#REF!</v>
      </c>
      <c r="O131" s="338" t="e">
        <f>'10 месяцев'!O131+#REF!</f>
        <v>#REF!</v>
      </c>
    </row>
    <row r="132" spans="1:16" ht="13.5" thickTop="1" thickBot="1">
      <c r="A132" s="862"/>
      <c r="B132" s="182" t="s">
        <v>251</v>
      </c>
      <c r="C132" s="182" t="s">
        <v>88</v>
      </c>
      <c r="D132" s="324">
        <f t="shared" si="18"/>
        <v>0</v>
      </c>
      <c r="E132" s="693"/>
      <c r="F132" s="693"/>
      <c r="G132" s="693"/>
      <c r="H132" s="693"/>
      <c r="I132" s="693"/>
      <c r="J132" s="351">
        <f t="shared" si="19"/>
        <v>0</v>
      </c>
      <c r="K132" s="351"/>
      <c r="L132" s="351"/>
      <c r="M132" s="351"/>
      <c r="N132" s="351"/>
      <c r="O132" s="351"/>
    </row>
    <row r="133" spans="1:16" ht="13.5" thickTop="1" thickBot="1">
      <c r="A133" s="862"/>
      <c r="B133" s="207"/>
      <c r="C133" s="208" t="s">
        <v>89</v>
      </c>
      <c r="D133" s="326">
        <f t="shared" si="18"/>
        <v>0</v>
      </c>
      <c r="E133" s="755"/>
      <c r="F133" s="755"/>
      <c r="G133" s="756"/>
      <c r="H133" s="476"/>
      <c r="I133" s="755"/>
      <c r="J133" s="708">
        <f t="shared" si="19"/>
        <v>0</v>
      </c>
      <c r="K133" s="707"/>
      <c r="L133" s="707"/>
      <c r="M133" s="708"/>
      <c r="N133" s="476"/>
      <c r="O133" s="707"/>
    </row>
    <row r="134" spans="1:16" ht="13.5" thickTop="1" thickBot="1">
      <c r="A134" s="862"/>
      <c r="B134" s="207"/>
      <c r="C134" s="208" t="s">
        <v>90</v>
      </c>
      <c r="D134" s="326">
        <f t="shared" si="18"/>
        <v>0</v>
      </c>
      <c r="E134" s="755"/>
      <c r="F134" s="755"/>
      <c r="G134" s="755"/>
      <c r="H134" s="476"/>
      <c r="I134" s="756"/>
      <c r="J134" s="708">
        <f t="shared" si="19"/>
        <v>0</v>
      </c>
      <c r="K134" s="707"/>
      <c r="L134" s="707"/>
      <c r="M134" s="707"/>
      <c r="N134" s="699"/>
      <c r="O134" s="708"/>
    </row>
    <row r="135" spans="1:16" ht="13.5" thickTop="1" thickBot="1">
      <c r="A135" s="862"/>
      <c r="B135" s="207"/>
      <c r="C135" s="208" t="s">
        <v>91</v>
      </c>
      <c r="D135" s="326">
        <f t="shared" si="18"/>
        <v>0</v>
      </c>
      <c r="E135" s="755"/>
      <c r="F135" s="755"/>
      <c r="G135" s="755"/>
      <c r="H135" s="755"/>
      <c r="I135" s="756"/>
      <c r="J135" s="708">
        <f t="shared" si="19"/>
        <v>0</v>
      </c>
      <c r="K135" s="707"/>
      <c r="L135" s="707"/>
      <c r="M135" s="707"/>
      <c r="N135" s="707"/>
      <c r="O135" s="708"/>
    </row>
    <row r="136" spans="1:16" ht="13.5" thickTop="1" thickBot="1">
      <c r="A136" s="862"/>
      <c r="B136" s="182" t="s">
        <v>252</v>
      </c>
      <c r="C136" s="182" t="s">
        <v>93</v>
      </c>
      <c r="D136" s="324">
        <f t="shared" si="18"/>
        <v>0</v>
      </c>
      <c r="E136" s="693"/>
      <c r="F136" s="693"/>
      <c r="G136" s="757"/>
      <c r="H136" s="757"/>
      <c r="I136" s="693"/>
      <c r="J136" s="351">
        <f t="shared" si="19"/>
        <v>0</v>
      </c>
      <c r="K136" s="351"/>
      <c r="L136" s="351"/>
      <c r="M136" s="709"/>
      <c r="N136" s="709"/>
      <c r="O136" s="351"/>
    </row>
    <row r="137" spans="1:16" ht="13.5" thickTop="1" thickBot="1">
      <c r="A137" s="862"/>
      <c r="B137" s="182" t="s">
        <v>253</v>
      </c>
      <c r="C137" s="182" t="s">
        <v>95</v>
      </c>
      <c r="D137" s="330">
        <f t="shared" si="18"/>
        <v>0</v>
      </c>
      <c r="E137" s="758"/>
      <c r="F137" s="759"/>
      <c r="G137" s="756"/>
      <c r="H137" s="756"/>
      <c r="I137" s="693"/>
      <c r="J137" s="749">
        <f t="shared" si="19"/>
        <v>0</v>
      </c>
      <c r="K137" s="760"/>
      <c r="L137" s="754"/>
      <c r="M137" s="708"/>
      <c r="N137" s="708"/>
      <c r="O137" s="351"/>
    </row>
    <row r="138" spans="1:16" ht="13.5" thickTop="1" thickBot="1">
      <c r="A138" s="862"/>
      <c r="B138" s="207"/>
      <c r="C138" s="208" t="s">
        <v>89</v>
      </c>
      <c r="D138" s="326">
        <f t="shared" si="18"/>
        <v>0</v>
      </c>
      <c r="E138" s="755"/>
      <c r="F138" s="755"/>
      <c r="G138" s="756"/>
      <c r="H138" s="756"/>
      <c r="I138" s="755"/>
      <c r="J138" s="708">
        <f t="shared" si="19"/>
        <v>0</v>
      </c>
      <c r="K138" s="707"/>
      <c r="L138" s="707"/>
      <c r="M138" s="708"/>
      <c r="N138" s="708"/>
      <c r="O138" s="707"/>
    </row>
    <row r="139" spans="1:16" ht="13.5" thickTop="1" thickBot="1">
      <c r="A139" s="862"/>
      <c r="B139" s="207"/>
      <c r="C139" s="208" t="s">
        <v>90</v>
      </c>
      <c r="D139" s="326">
        <f t="shared" si="18"/>
        <v>0</v>
      </c>
      <c r="E139" s="755"/>
      <c r="F139" s="755"/>
      <c r="G139" s="755"/>
      <c r="H139" s="756"/>
      <c r="I139" s="756"/>
      <c r="J139" s="708">
        <f t="shared" si="19"/>
        <v>0</v>
      </c>
      <c r="K139" s="707"/>
      <c r="L139" s="707"/>
      <c r="M139" s="707"/>
      <c r="N139" s="708"/>
      <c r="O139" s="708"/>
    </row>
    <row r="140" spans="1:16" ht="13.5" thickTop="1" thickBot="1">
      <c r="A140" s="862"/>
      <c r="B140" s="207"/>
      <c r="C140" s="208" t="s">
        <v>91</v>
      </c>
      <c r="D140" s="326">
        <f t="shared" si="18"/>
        <v>0</v>
      </c>
      <c r="E140" s="755"/>
      <c r="F140" s="755"/>
      <c r="G140" s="755"/>
      <c r="H140" s="755"/>
      <c r="I140" s="756"/>
      <c r="J140" s="708">
        <f t="shared" si="19"/>
        <v>0</v>
      </c>
      <c r="K140" s="707"/>
      <c r="L140" s="707"/>
      <c r="M140" s="707"/>
      <c r="N140" s="707"/>
      <c r="O140" s="708"/>
    </row>
    <row r="141" spans="1:16" ht="13.5" thickTop="1" thickBot="1">
      <c r="A141" s="862"/>
      <c r="B141" s="182" t="s">
        <v>254</v>
      </c>
      <c r="C141" s="182" t="s">
        <v>97</v>
      </c>
      <c r="D141" s="324">
        <f t="shared" si="18"/>
        <v>0</v>
      </c>
      <c r="E141" s="693"/>
      <c r="F141" s="693"/>
      <c r="G141" s="693"/>
      <c r="H141" s="693"/>
      <c r="I141" s="693"/>
      <c r="J141" s="351">
        <f t="shared" si="19"/>
        <v>0</v>
      </c>
      <c r="K141" s="351"/>
      <c r="L141" s="351"/>
      <c r="M141" s="351"/>
      <c r="N141" s="477"/>
      <c r="O141" s="351"/>
    </row>
    <row r="142" spans="1:16" ht="13.5" thickTop="1" thickBot="1">
      <c r="A142" s="862"/>
      <c r="B142" s="182" t="s">
        <v>255</v>
      </c>
      <c r="C142" s="182" t="s">
        <v>99</v>
      </c>
      <c r="D142" s="324">
        <f t="shared" si="18"/>
        <v>0</v>
      </c>
      <c r="E142" s="324"/>
      <c r="F142" s="324"/>
      <c r="G142" s="324"/>
      <c r="H142" s="323"/>
      <c r="I142" s="324"/>
      <c r="J142" s="196">
        <f t="shared" si="19"/>
        <v>0</v>
      </c>
      <c r="K142" s="196"/>
      <c r="L142" s="196"/>
      <c r="M142" s="196"/>
      <c r="N142" s="196"/>
      <c r="O142" s="196"/>
    </row>
    <row r="143" spans="1:16" ht="12.75" customHeight="1" thickTop="1" thickBot="1">
      <c r="A143" s="862"/>
      <c r="B143" s="257" t="s">
        <v>100</v>
      </c>
      <c r="C143" s="257" t="s">
        <v>101</v>
      </c>
      <c r="D143" s="181" t="e">
        <f t="shared" si="10"/>
        <v>#REF!</v>
      </c>
      <c r="E143" s="233" t="e">
        <f>SUM(E144:E147)</f>
        <v>#REF!</v>
      </c>
      <c r="F143" s="233" t="e">
        <f>SUM(F144:F147)</f>
        <v>#REF!</v>
      </c>
      <c r="G143" s="233" t="e">
        <f>SUM(G144:G147)</f>
        <v>#REF!</v>
      </c>
      <c r="H143" s="233" t="e">
        <f>SUM(H144:H147)</f>
        <v>#REF!</v>
      </c>
      <c r="I143" s="181" t="e">
        <f>SUM(I144:I147)</f>
        <v>#REF!</v>
      </c>
      <c r="J143" s="532" t="e">
        <f t="shared" si="11"/>
        <v>#REF!</v>
      </c>
      <c r="K143" s="233">
        <f>SUM(K144:K147)</f>
        <v>0</v>
      </c>
      <c r="L143" s="233" t="e">
        <f>SUM(L144:L147)</f>
        <v>#REF!</v>
      </c>
      <c r="M143" s="233" t="e">
        <f>SUM(M144:M147)</f>
        <v>#REF!</v>
      </c>
      <c r="N143" s="233" t="e">
        <f>SUM(N144:N147)</f>
        <v>#REF!</v>
      </c>
      <c r="O143" s="181" t="e">
        <f>SUM(O144:O147)</f>
        <v>#REF!</v>
      </c>
      <c r="P143" s="24"/>
    </row>
    <row r="144" spans="1:16" ht="12.75" customHeight="1" thickTop="1" thickBot="1">
      <c r="A144" s="862"/>
      <c r="B144" s="249" t="s">
        <v>102</v>
      </c>
      <c r="C144" s="250" t="s">
        <v>103</v>
      </c>
      <c r="D144" s="217" t="e">
        <f t="shared" si="10"/>
        <v>#REF!</v>
      </c>
      <c r="E144" s="235"/>
      <c r="F144" s="235"/>
      <c r="G144" s="235"/>
      <c r="H144" s="235"/>
      <c r="I144" s="184" t="e">
        <f>'10 месяцев'!I144+#REF!</f>
        <v>#REF!</v>
      </c>
      <c r="J144" s="218" t="e">
        <f t="shared" si="11"/>
        <v>#REF!</v>
      </c>
      <c r="K144" s="235"/>
      <c r="L144" s="235"/>
      <c r="M144" s="235"/>
      <c r="N144" s="235"/>
      <c r="O144" s="184" t="e">
        <f>'10 месяцев'!O144+#REF!</f>
        <v>#REF!</v>
      </c>
      <c r="P144" s="24"/>
    </row>
    <row r="145" spans="1:19" ht="12.75" customHeight="1" thickTop="1" thickBot="1">
      <c r="A145" s="862"/>
      <c r="B145" s="249" t="s">
        <v>104</v>
      </c>
      <c r="C145" s="250" t="s">
        <v>206</v>
      </c>
      <c r="D145" s="217"/>
      <c r="E145" s="235"/>
      <c r="F145" s="235"/>
      <c r="G145" s="235"/>
      <c r="H145" s="235"/>
      <c r="I145" s="184"/>
      <c r="J145" s="218"/>
      <c r="K145" s="235"/>
      <c r="L145" s="235"/>
      <c r="M145" s="235"/>
      <c r="N145" s="235"/>
      <c r="O145" s="184" t="e">
        <f>'10 месяцев'!O145+#REF!</f>
        <v>#REF!</v>
      </c>
      <c r="P145" s="24"/>
    </row>
    <row r="146" spans="1:19" ht="12.75" customHeight="1" thickTop="1" thickBot="1">
      <c r="A146" s="862"/>
      <c r="B146" s="249" t="s">
        <v>106</v>
      </c>
      <c r="C146" s="250" t="s">
        <v>105</v>
      </c>
      <c r="D146" s="217" t="e">
        <f t="shared" si="10"/>
        <v>#REF!</v>
      </c>
      <c r="E146" s="184" t="e">
        <f>'10 месяцев'!E146+#REF!</f>
        <v>#REF!</v>
      </c>
      <c r="F146" s="184" t="e">
        <f>'10 месяцев'!F146+#REF!</f>
        <v>#REF!</v>
      </c>
      <c r="G146" s="184" t="e">
        <f>'10 месяцев'!G146+#REF!</f>
        <v>#REF!</v>
      </c>
      <c r="H146" s="184" t="e">
        <f>'10 месяцев'!H146+#REF!</f>
        <v>#REF!</v>
      </c>
      <c r="I146" s="184" t="e">
        <f>'10 месяцев'!I146+#REF!</f>
        <v>#REF!</v>
      </c>
      <c r="J146" s="218" t="e">
        <f t="shared" si="11"/>
        <v>#REF!</v>
      </c>
      <c r="K146" s="184"/>
      <c r="L146" s="184" t="e">
        <f>'10 месяцев'!L146+#REF!</f>
        <v>#REF!</v>
      </c>
      <c r="M146" s="184" t="e">
        <f>'10 месяцев'!M146+#REF!</f>
        <v>#REF!</v>
      </c>
      <c r="N146" s="184" t="e">
        <f>'10 месяцев'!N146+#REF!</f>
        <v>#REF!</v>
      </c>
      <c r="O146" s="184" t="e">
        <f>'10 месяцев'!O146+#REF!</f>
        <v>#REF!</v>
      </c>
    </row>
    <row r="147" spans="1:19" ht="12.75" customHeight="1" thickTop="1" thickBot="1">
      <c r="A147" s="862"/>
      <c r="B147" s="249" t="s">
        <v>207</v>
      </c>
      <c r="C147" s="250" t="s">
        <v>107</v>
      </c>
      <c r="D147" s="217" t="e">
        <f t="shared" si="10"/>
        <v>#REF!</v>
      </c>
      <c r="E147" s="184" t="e">
        <f>'10 месяцев'!E147+#REF!</f>
        <v>#REF!</v>
      </c>
      <c r="F147" s="184" t="e">
        <f>'10 месяцев'!F147+#REF!</f>
        <v>#REF!</v>
      </c>
      <c r="G147" s="184" t="e">
        <f>'10 месяцев'!G147+#REF!</f>
        <v>#REF!</v>
      </c>
      <c r="H147" s="184" t="e">
        <f>'10 месяцев'!H147+#REF!</f>
        <v>#REF!</v>
      </c>
      <c r="I147" s="184" t="e">
        <f>'10 месяцев'!I147+#REF!</f>
        <v>#REF!</v>
      </c>
      <c r="J147" s="762" t="e">
        <f t="shared" si="11"/>
        <v>#REF!</v>
      </c>
      <c r="K147" s="184"/>
      <c r="L147" s="184" t="e">
        <f>'10 месяцев'!L147+#REF!</f>
        <v>#REF!</v>
      </c>
      <c r="M147" s="184" t="e">
        <f>'10 месяцев'!M147+#REF!</f>
        <v>#REF!</v>
      </c>
      <c r="N147" s="184" t="e">
        <f>'10 месяцев'!N147+#REF!</f>
        <v>#REF!</v>
      </c>
      <c r="O147" s="184" t="e">
        <f>'10 месяцев'!O147+#REF!</f>
        <v>#REF!</v>
      </c>
    </row>
    <row r="148" spans="1:19" ht="12.75" customHeight="1" thickTop="1" thickBot="1">
      <c r="A148" s="862"/>
      <c r="B148" s="249" t="s">
        <v>108</v>
      </c>
      <c r="C148" s="249" t="s">
        <v>169</v>
      </c>
      <c r="D148" s="291" t="e">
        <f>D150/1.18/D143</f>
        <v>#REF!</v>
      </c>
      <c r="E148" s="596"/>
      <c r="F148" s="596"/>
      <c r="G148" s="596"/>
      <c r="H148" s="596"/>
      <c r="I148" s="596"/>
      <c r="J148" s="291" t="e">
        <f>J150/1.18/J143</f>
        <v>#REF!</v>
      </c>
      <c r="K148" s="596"/>
      <c r="L148" s="596"/>
      <c r="M148" s="596"/>
      <c r="N148" s="596"/>
      <c r="O148" s="596"/>
    </row>
    <row r="149" spans="1:19" ht="12.75" customHeight="1" thickTop="1" thickBot="1">
      <c r="A149" s="862"/>
      <c r="B149" s="249" t="s">
        <v>205</v>
      </c>
      <c r="C149" s="249" t="s">
        <v>169</v>
      </c>
      <c r="D149" s="291"/>
      <c r="E149" s="289"/>
      <c r="F149" s="290"/>
      <c r="G149" s="290"/>
      <c r="H149" s="290"/>
      <c r="I149" s="598"/>
      <c r="J149" s="291"/>
      <c r="K149" s="289"/>
      <c r="L149" s="290"/>
      <c r="M149" s="290"/>
      <c r="N149" s="290"/>
      <c r="O149" s="598"/>
    </row>
    <row r="150" spans="1:19" ht="12.75" customHeight="1" thickTop="1" thickBot="1">
      <c r="A150" s="862"/>
      <c r="B150" s="249" t="s">
        <v>109</v>
      </c>
      <c r="C150" s="292" t="s">
        <v>110</v>
      </c>
      <c r="D150" s="285" t="e">
        <f>SUM(E150:I150)</f>
        <v>#REF!</v>
      </c>
      <c r="E150" s="338" t="e">
        <f>'10 месяцев'!E150+#REF!</f>
        <v>#REF!</v>
      </c>
      <c r="F150" s="338" t="e">
        <f>'10 месяцев'!F150+#REF!</f>
        <v>#REF!</v>
      </c>
      <c r="G150" s="338" t="e">
        <f>'10 месяцев'!G150+#REF!</f>
        <v>#REF!</v>
      </c>
      <c r="H150" s="338" t="e">
        <f>'10 месяцев'!H150+#REF!</f>
        <v>#REF!</v>
      </c>
      <c r="I150" s="338" t="e">
        <f>'10 месяцев'!I150+#REF!</f>
        <v>#REF!</v>
      </c>
      <c r="J150" s="261" t="e">
        <f>SUM(K150:O150)</f>
        <v>#REF!</v>
      </c>
      <c r="K150" s="338" t="e">
        <f>'10 месяцев'!K150+#REF!</f>
        <v>#REF!</v>
      </c>
      <c r="L150" s="338" t="e">
        <f>'10 месяцев'!L150+#REF!</f>
        <v>#REF!</v>
      </c>
      <c r="M150" s="338" t="e">
        <f>'10 месяцев'!M150+#REF!</f>
        <v>#REF!</v>
      </c>
      <c r="N150" s="338" t="e">
        <f>'10 месяцев'!N150+#REF!</f>
        <v>#REF!</v>
      </c>
      <c r="O150" s="338" t="e">
        <f>'10 месяцев'!O150+#REF!</f>
        <v>#REF!</v>
      </c>
      <c r="Q150" s="24"/>
    </row>
    <row r="151" spans="1:19" ht="12.75" customHeight="1" thickTop="1" thickBot="1">
      <c r="A151" s="863" t="s">
        <v>111</v>
      </c>
      <c r="B151" s="220" t="s">
        <v>112</v>
      </c>
      <c r="C151" s="221" t="s">
        <v>113</v>
      </c>
      <c r="D151" s="222" t="e">
        <f>SUM(E151:I151)</f>
        <v>#REF!</v>
      </c>
      <c r="E151" s="222" t="e">
        <f>E44-E34-E46</f>
        <v>#REF!</v>
      </c>
      <c r="F151" s="222" t="e">
        <f>F44-F34-F46</f>
        <v>#REF!</v>
      </c>
      <c r="G151" s="222" t="e">
        <f>G44-G34-G46</f>
        <v>#REF!</v>
      </c>
      <c r="H151" s="222" t="e">
        <f>H44-H34-H46</f>
        <v>#REF!</v>
      </c>
      <c r="I151" s="222" t="e">
        <f>I44-I34-I46</f>
        <v>#REF!</v>
      </c>
      <c r="J151" s="335" t="e">
        <f>SUM(K151:O151)</f>
        <v>#REF!</v>
      </c>
      <c r="K151" s="222">
        <f>K44-K34-K46</f>
        <v>0</v>
      </c>
      <c r="L151" s="222" t="e">
        <f>L44-L34-L46</f>
        <v>#REF!</v>
      </c>
      <c r="M151" s="222" t="e">
        <f>M44-M34-M46</f>
        <v>#REF!</v>
      </c>
      <c r="N151" s="222" t="e">
        <f>N44-N34-N46</f>
        <v>#REF!</v>
      </c>
      <c r="O151" s="222" t="e">
        <f>O44-O34-O46</f>
        <v>#REF!</v>
      </c>
    </row>
    <row r="152" spans="1:19" ht="12.75" customHeight="1" thickTop="1" thickBot="1">
      <c r="A152" s="863"/>
      <c r="B152" s="234" t="s">
        <v>114</v>
      </c>
      <c r="C152" s="179" t="s">
        <v>115</v>
      </c>
      <c r="D152" s="346" t="e">
        <f t="shared" ref="D152:J152" si="20">IF(D44=0,0,D151/D44*100)</f>
        <v>#REF!</v>
      </c>
      <c r="E152" s="346" t="e">
        <f t="shared" si="20"/>
        <v>#REF!</v>
      </c>
      <c r="F152" s="346" t="e">
        <f t="shared" si="20"/>
        <v>#REF!</v>
      </c>
      <c r="G152" s="346" t="e">
        <f t="shared" si="20"/>
        <v>#REF!</v>
      </c>
      <c r="H152" s="346" t="e">
        <f t="shared" si="20"/>
        <v>#REF!</v>
      </c>
      <c r="I152" s="346" t="e">
        <f t="shared" si="20"/>
        <v>#REF!</v>
      </c>
      <c r="J152" s="346" t="e">
        <f t="shared" si="20"/>
        <v>#REF!</v>
      </c>
      <c r="K152" s="346">
        <f>IF(K44=0,0,K151/K44*100)</f>
        <v>0</v>
      </c>
      <c r="L152" s="346" t="e">
        <f t="shared" ref="L152:O152" si="21">IF(L44=0,0,L151/L44*100)</f>
        <v>#REF!</v>
      </c>
      <c r="M152" s="346" t="e">
        <f t="shared" si="21"/>
        <v>#REF!</v>
      </c>
      <c r="N152" s="346" t="e">
        <f t="shared" si="21"/>
        <v>#REF!</v>
      </c>
      <c r="O152" s="346" t="e">
        <f t="shared" si="21"/>
        <v>#REF!</v>
      </c>
    </row>
    <row r="153" spans="1:19" ht="12.75" customHeight="1" thickTop="1" thickBot="1">
      <c r="A153" s="863"/>
      <c r="B153" s="234" t="s">
        <v>116</v>
      </c>
      <c r="C153" s="179" t="s">
        <v>117</v>
      </c>
      <c r="D153" s="346" t="e">
        <f t="shared" ref="D153:J153" si="22">IF(D45=0,0,D151/D45*100)</f>
        <v>#REF!</v>
      </c>
      <c r="E153" s="346" t="e">
        <f t="shared" si="22"/>
        <v>#REF!</v>
      </c>
      <c r="F153" s="346" t="e">
        <f t="shared" si="22"/>
        <v>#REF!</v>
      </c>
      <c r="G153" s="346" t="e">
        <f t="shared" si="22"/>
        <v>#REF!</v>
      </c>
      <c r="H153" s="346" t="e">
        <f t="shared" si="22"/>
        <v>#REF!</v>
      </c>
      <c r="I153" s="346" t="e">
        <f t="shared" si="22"/>
        <v>#REF!</v>
      </c>
      <c r="J153" s="346" t="e">
        <f t="shared" si="22"/>
        <v>#REF!</v>
      </c>
      <c r="K153" s="346">
        <f>IF(K45=0,0,K151/K45*100)</f>
        <v>0</v>
      </c>
      <c r="L153" s="346" t="e">
        <f t="shared" ref="L153:O153" si="23">IF(L45=0,0,L151/L45*100)</f>
        <v>#REF!</v>
      </c>
      <c r="M153" s="346" t="e">
        <f t="shared" si="23"/>
        <v>#REF!</v>
      </c>
      <c r="N153" s="346" t="e">
        <f t="shared" si="23"/>
        <v>#REF!</v>
      </c>
      <c r="O153" s="346" t="e">
        <f t="shared" si="23"/>
        <v>#REF!</v>
      </c>
    </row>
    <row r="154" spans="1:19" ht="12.75" customHeight="1" thickTop="1" thickBot="1">
      <c r="A154" s="863"/>
      <c r="B154" s="224" t="s">
        <v>118</v>
      </c>
      <c r="C154" s="225" t="s">
        <v>119</v>
      </c>
      <c r="D154" s="451"/>
      <c r="E154" s="451"/>
      <c r="F154" s="184" t="e">
        <f>'10 месяцев'!F154+#REF!</f>
        <v>#REF!</v>
      </c>
      <c r="G154" s="451"/>
      <c r="H154" s="451"/>
      <c r="I154" s="451"/>
      <c r="J154" s="451" t="e">
        <f>SUM(K154:O154)</f>
        <v>#REF!</v>
      </c>
      <c r="K154" s="451"/>
      <c r="L154" s="184" t="e">
        <f>'10 месяцев'!L154+#REF!</f>
        <v>#REF!</v>
      </c>
      <c r="M154" s="451">
        <v>0</v>
      </c>
      <c r="N154" s="451">
        <v>0</v>
      </c>
      <c r="O154" s="451">
        <v>0</v>
      </c>
    </row>
    <row r="155" spans="1:19" ht="12.75" customHeight="1" thickTop="1" thickBot="1">
      <c r="A155" s="863"/>
      <c r="B155" s="227" t="s">
        <v>120</v>
      </c>
      <c r="C155" s="186" t="s">
        <v>121</v>
      </c>
      <c r="D155" s="450" t="e">
        <f>SUM(E155:I155)</f>
        <v>#REF!</v>
      </c>
      <c r="E155" s="450" t="e">
        <f>E151</f>
        <v>#REF!</v>
      </c>
      <c r="F155" s="450" t="e">
        <f>F151</f>
        <v>#REF!</v>
      </c>
      <c r="G155" s="450" t="e">
        <f>G151</f>
        <v>#REF!</v>
      </c>
      <c r="H155" s="450" t="e">
        <f>H151</f>
        <v>#REF!</v>
      </c>
      <c r="I155" s="450" t="e">
        <f>I151</f>
        <v>#REF!</v>
      </c>
      <c r="J155" s="450" t="e">
        <f>SUM(K155:O155)</f>
        <v>#REF!</v>
      </c>
      <c r="K155" s="450">
        <f>K151</f>
        <v>0</v>
      </c>
      <c r="L155" s="450" t="e">
        <f>L151</f>
        <v>#REF!</v>
      </c>
      <c r="M155" s="450" t="e">
        <f>M151</f>
        <v>#REF!</v>
      </c>
      <c r="N155" s="450" t="e">
        <f>N151</f>
        <v>#REF!</v>
      </c>
      <c r="O155" s="450" t="e">
        <f>O151</f>
        <v>#REF!</v>
      </c>
    </row>
    <row r="156" spans="1:19" ht="12.75" customHeight="1" thickTop="1" thickBot="1">
      <c r="A156" s="863"/>
      <c r="B156" s="227" t="s">
        <v>122</v>
      </c>
      <c r="C156" s="186" t="s">
        <v>123</v>
      </c>
      <c r="D156" s="444" t="e">
        <f>D157/1.18/D155</f>
        <v>#REF!</v>
      </c>
      <c r="E156" s="341">
        <v>1.6620576725516818</v>
      </c>
      <c r="F156" s="341">
        <v>1.6620576725516818</v>
      </c>
      <c r="G156" s="341">
        <v>1.6620576725516818</v>
      </c>
      <c r="H156" s="341">
        <v>1.6620576725516818</v>
      </c>
      <c r="I156" s="341">
        <v>1.6620576725516818</v>
      </c>
      <c r="J156" s="455" t="e">
        <f>J157/1.18/J155</f>
        <v>#REF!</v>
      </c>
      <c r="K156" s="241">
        <v>1.5087518173071004</v>
      </c>
      <c r="L156" s="241">
        <v>1.5087518173071004</v>
      </c>
      <c r="M156" s="241">
        <v>1.5087518173071004</v>
      </c>
      <c r="N156" s="241">
        <v>1.5087518173071004</v>
      </c>
      <c r="O156" s="241">
        <v>1.5087518173071004</v>
      </c>
    </row>
    <row r="157" spans="1:19" ht="12.75" customHeight="1" thickTop="1" thickBot="1">
      <c r="A157" s="863"/>
      <c r="B157" s="227" t="s">
        <v>124</v>
      </c>
      <c r="C157" s="186" t="s">
        <v>125</v>
      </c>
      <c r="D157" s="450" t="e">
        <f>SUM(E157:I157)</f>
        <v>#REF!</v>
      </c>
      <c r="E157" s="450" t="e">
        <f>E155*E156*1.18</f>
        <v>#REF!</v>
      </c>
      <c r="F157" s="450" t="e">
        <f>F155*F156*1.18</f>
        <v>#REF!</v>
      </c>
      <c r="G157" s="450" t="e">
        <f>G155*G156*1.18</f>
        <v>#REF!</v>
      </c>
      <c r="H157" s="450" t="e">
        <f>H155*H156*1.18</f>
        <v>#REF!</v>
      </c>
      <c r="I157" s="450" t="e">
        <f>I155*I156*1.18</f>
        <v>#REF!</v>
      </c>
      <c r="J157" s="450" t="e">
        <f>SUM(K157:O157)</f>
        <v>#REF!</v>
      </c>
      <c r="K157" s="450">
        <f>K155*K156*1.18</f>
        <v>0</v>
      </c>
      <c r="L157" s="450" t="e">
        <f>L155*L156*1.18</f>
        <v>#REF!</v>
      </c>
      <c r="M157" s="450" t="e">
        <f>M155*M156*1.18</f>
        <v>#REF!</v>
      </c>
      <c r="N157" s="450" t="e">
        <f>N155*N156*1.18</f>
        <v>#REF!</v>
      </c>
      <c r="O157" s="450" t="e">
        <f>O155*O156*1.18</f>
        <v>#REF!</v>
      </c>
    </row>
    <row r="158" spans="1:19" ht="12.75" customHeight="1" thickTop="1" thickBot="1">
      <c r="A158" s="863"/>
      <c r="B158" s="229" t="s">
        <v>126</v>
      </c>
      <c r="C158" s="225" t="s">
        <v>127</v>
      </c>
      <c r="D158" s="451" t="e">
        <f>SUM(E158:I158)</f>
        <v>#REF!</v>
      </c>
      <c r="E158" s="184" t="e">
        <f>'10 месяцев'!E158+#REF!</f>
        <v>#REF!</v>
      </c>
      <c r="F158" s="184" t="e">
        <f>'10 месяцев'!F158+#REF!</f>
        <v>#REF!</v>
      </c>
      <c r="G158" s="184" t="e">
        <f>'10 месяцев'!G158+#REF!</f>
        <v>#REF!</v>
      </c>
      <c r="H158" s="184" t="e">
        <f>'10 месяцев'!H158+#REF!</f>
        <v>#REF!</v>
      </c>
      <c r="I158" s="184" t="e">
        <f>'10 месяцев'!I158+#REF!</f>
        <v>#REF!</v>
      </c>
      <c r="J158" s="451" t="e">
        <f>SUM(K158:O158)</f>
        <v>#REF!</v>
      </c>
      <c r="K158" s="184" t="e">
        <f>'10 месяцев'!K158+#REF!</f>
        <v>#REF!</v>
      </c>
      <c r="L158" s="184" t="e">
        <f>'10 месяцев'!L158+#REF!</f>
        <v>#REF!</v>
      </c>
      <c r="M158" s="184" t="e">
        <f>'10 месяцев'!M158+#REF!</f>
        <v>#REF!</v>
      </c>
      <c r="N158" s="184" t="e">
        <f>'10 месяцев'!N158+#REF!</f>
        <v>#REF!</v>
      </c>
      <c r="O158" s="184" t="e">
        <f>'10 месяцев'!O158+#REF!</f>
        <v>#REF!</v>
      </c>
    </row>
    <row r="159" spans="1:19" ht="12.75" customHeight="1" thickTop="1" thickBot="1">
      <c r="A159" s="863"/>
      <c r="B159" s="229" t="s">
        <v>128</v>
      </c>
      <c r="C159" s="225" t="s">
        <v>129</v>
      </c>
      <c r="D159" s="345" t="e">
        <f t="shared" ref="D159:O159" si="24">IF(D44=0,0,D158/D44*100)</f>
        <v>#REF!</v>
      </c>
      <c r="E159" s="345" t="e">
        <f t="shared" si="24"/>
        <v>#REF!</v>
      </c>
      <c r="F159" s="345" t="e">
        <f t="shared" si="24"/>
        <v>#REF!</v>
      </c>
      <c r="G159" s="345" t="e">
        <f t="shared" si="24"/>
        <v>#REF!</v>
      </c>
      <c r="H159" s="345" t="e">
        <f t="shared" si="24"/>
        <v>#REF!</v>
      </c>
      <c r="I159" s="345" t="e">
        <f t="shared" si="24"/>
        <v>#REF!</v>
      </c>
      <c r="J159" s="345" t="e">
        <f t="shared" si="24"/>
        <v>#REF!</v>
      </c>
      <c r="K159" s="345">
        <f>IF(K44=0,0,K158/K44*100)</f>
        <v>0</v>
      </c>
      <c r="L159" s="345" t="e">
        <f t="shared" si="24"/>
        <v>#REF!</v>
      </c>
      <c r="M159" s="345" t="e">
        <f t="shared" si="24"/>
        <v>#REF!</v>
      </c>
      <c r="N159" s="345" t="e">
        <f t="shared" si="24"/>
        <v>#REF!</v>
      </c>
      <c r="O159" s="345" t="e">
        <f t="shared" si="24"/>
        <v>#REF!</v>
      </c>
      <c r="P159" s="25"/>
      <c r="Q159" s="25"/>
      <c r="R159" s="25"/>
      <c r="S159" s="25"/>
    </row>
    <row r="160" spans="1:19" ht="12.75" customHeight="1" thickTop="1" thickBot="1">
      <c r="A160" s="863"/>
      <c r="B160" s="230" t="s">
        <v>130</v>
      </c>
      <c r="C160" s="225" t="s">
        <v>131</v>
      </c>
      <c r="D160" s="345" t="e">
        <f t="shared" ref="D160:O160" si="25">IF(D45=0,0,D158/D45*100)</f>
        <v>#REF!</v>
      </c>
      <c r="E160" s="345" t="e">
        <f t="shared" si="25"/>
        <v>#REF!</v>
      </c>
      <c r="F160" s="345" t="e">
        <f t="shared" si="25"/>
        <v>#REF!</v>
      </c>
      <c r="G160" s="345" t="e">
        <f t="shared" si="25"/>
        <v>#REF!</v>
      </c>
      <c r="H160" s="345" t="e">
        <f t="shared" si="25"/>
        <v>#REF!</v>
      </c>
      <c r="I160" s="345" t="e">
        <f t="shared" si="25"/>
        <v>#REF!</v>
      </c>
      <c r="J160" s="345" t="e">
        <f t="shared" si="25"/>
        <v>#REF!</v>
      </c>
      <c r="K160" s="345">
        <f t="shared" si="25"/>
        <v>0</v>
      </c>
      <c r="L160" s="345" t="e">
        <f t="shared" si="25"/>
        <v>#REF!</v>
      </c>
      <c r="M160" s="345" t="e">
        <f t="shared" si="25"/>
        <v>#REF!</v>
      </c>
      <c r="N160" s="345" t="e">
        <f t="shared" si="25"/>
        <v>#REF!</v>
      </c>
      <c r="O160" s="345" t="e">
        <f t="shared" si="25"/>
        <v>#REF!</v>
      </c>
      <c r="P160" s="25"/>
      <c r="Q160" s="25"/>
      <c r="R160" s="25"/>
      <c r="S160" s="25"/>
    </row>
    <row r="161" spans="1:15" ht="12.75" customHeight="1" thickTop="1" thickBot="1">
      <c r="A161" s="863"/>
      <c r="B161" s="231" t="s">
        <v>132</v>
      </c>
      <c r="C161" s="186" t="s">
        <v>133</v>
      </c>
      <c r="D161" s="450" t="e">
        <f>SUM(E161:I161)</f>
        <v>#REF!</v>
      </c>
      <c r="E161" s="450" t="e">
        <f>E151-E158</f>
        <v>#REF!</v>
      </c>
      <c r="F161" s="450" t="e">
        <f>F151-F158</f>
        <v>#REF!</v>
      </c>
      <c r="G161" s="450" t="e">
        <f>G151-G158</f>
        <v>#REF!</v>
      </c>
      <c r="H161" s="450" t="e">
        <f>H151-H158</f>
        <v>#REF!</v>
      </c>
      <c r="I161" s="450" t="e">
        <f>I151-I158</f>
        <v>#REF!</v>
      </c>
      <c r="J161" s="450" t="e">
        <f>SUM(K161:O161)</f>
        <v>#REF!</v>
      </c>
      <c r="K161" s="450" t="e">
        <f>K151-K158</f>
        <v>#REF!</v>
      </c>
      <c r="L161" s="450" t="e">
        <f>L151-L158</f>
        <v>#REF!</v>
      </c>
      <c r="M161" s="450" t="e">
        <f>M151-M158</f>
        <v>#REF!</v>
      </c>
      <c r="N161" s="450" t="e">
        <f>N151-N158</f>
        <v>#REF!</v>
      </c>
      <c r="O161" s="450" t="e">
        <f>O151-O158</f>
        <v>#REF!</v>
      </c>
    </row>
    <row r="162" spans="1:15" ht="12.75" customHeight="1" thickTop="1" thickBot="1">
      <c r="A162" s="863"/>
      <c r="B162" s="231" t="s">
        <v>134</v>
      </c>
      <c r="C162" s="186" t="s">
        <v>135</v>
      </c>
      <c r="D162" s="347" t="e">
        <f>IF(D44=0,0,D161/D44*100)</f>
        <v>#REF!</v>
      </c>
      <c r="E162" s="347" t="e">
        <f t="shared" ref="E162:I162" si="26">IF(E44=0,0,E161/E44*100)</f>
        <v>#REF!</v>
      </c>
      <c r="F162" s="347" t="e">
        <f t="shared" si="26"/>
        <v>#REF!</v>
      </c>
      <c r="G162" s="347" t="e">
        <f t="shared" si="26"/>
        <v>#REF!</v>
      </c>
      <c r="H162" s="347" t="e">
        <f t="shared" si="26"/>
        <v>#REF!</v>
      </c>
      <c r="I162" s="347" t="e">
        <f t="shared" si="26"/>
        <v>#REF!</v>
      </c>
      <c r="J162" s="347" t="e">
        <f>IF(J44=0,0,J161/J44*100)</f>
        <v>#REF!</v>
      </c>
      <c r="K162" s="347">
        <f>IF(K44=0,0,K161/K44*100)</f>
        <v>0</v>
      </c>
      <c r="L162" s="347" t="e">
        <f t="shared" ref="L162:O162" si="27">IF(L44=0,0,L161/L44*100)</f>
        <v>#REF!</v>
      </c>
      <c r="M162" s="347" t="e">
        <f t="shared" si="27"/>
        <v>#REF!</v>
      </c>
      <c r="N162" s="347" t="e">
        <f t="shared" si="27"/>
        <v>#REF!</v>
      </c>
      <c r="O162" s="347" t="e">
        <f t="shared" si="27"/>
        <v>#REF!</v>
      </c>
    </row>
    <row r="163" spans="1:15" ht="12.75" customHeight="1" thickTop="1" thickBot="1">
      <c r="A163" s="863"/>
      <c r="B163" s="231" t="s">
        <v>136</v>
      </c>
      <c r="C163" s="186" t="s">
        <v>137</v>
      </c>
      <c r="D163" s="347" t="e">
        <f>IF(D45=0,0,D161/D45*100)</f>
        <v>#REF!</v>
      </c>
      <c r="E163" s="347" t="e">
        <f t="shared" ref="E163:O163" si="28">IF(E45=0,0,E161/E45*100)</f>
        <v>#REF!</v>
      </c>
      <c r="F163" s="347" t="e">
        <f t="shared" si="28"/>
        <v>#REF!</v>
      </c>
      <c r="G163" s="347" t="e">
        <f t="shared" si="28"/>
        <v>#REF!</v>
      </c>
      <c r="H163" s="347" t="e">
        <f t="shared" si="28"/>
        <v>#REF!</v>
      </c>
      <c r="I163" s="347" t="e">
        <f t="shared" si="28"/>
        <v>#REF!</v>
      </c>
      <c r="J163" s="347" t="e">
        <f t="shared" si="28"/>
        <v>#REF!</v>
      </c>
      <c r="K163" s="347">
        <f t="shared" si="28"/>
        <v>0</v>
      </c>
      <c r="L163" s="347" t="e">
        <f t="shared" si="28"/>
        <v>#REF!</v>
      </c>
      <c r="M163" s="347" t="e">
        <f t="shared" si="28"/>
        <v>#REF!</v>
      </c>
      <c r="N163" s="347" t="e">
        <f t="shared" si="28"/>
        <v>#REF!</v>
      </c>
      <c r="O163" s="347" t="e">
        <f t="shared" si="28"/>
        <v>#REF!</v>
      </c>
    </row>
    <row r="164" spans="1:15">
      <c r="A164" s="94" t="s">
        <v>195</v>
      </c>
      <c r="J164" s="25"/>
      <c r="K164" s="25"/>
      <c r="L164" s="25"/>
      <c r="M164" s="25"/>
      <c r="N164" s="25"/>
      <c r="O164" s="25"/>
    </row>
    <row r="165" spans="1:15" ht="12.75" thickBot="1">
      <c r="J165" s="27"/>
      <c r="K165" s="82"/>
      <c r="L165" s="27"/>
      <c r="M165" s="27"/>
      <c r="N165" s="27"/>
      <c r="O165" s="27"/>
    </row>
    <row r="166" spans="1:15" ht="12.75" customHeight="1" thickBot="1">
      <c r="B166" s="854" t="s">
        <v>138</v>
      </c>
      <c r="C166" s="855" t="s">
        <v>139</v>
      </c>
      <c r="D166" s="851" t="s">
        <v>140</v>
      </c>
      <c r="E166" s="851"/>
      <c r="F166" s="851"/>
      <c r="G166" s="851"/>
      <c r="H166" s="851"/>
      <c r="I166" s="851"/>
      <c r="J166" s="851" t="s">
        <v>140</v>
      </c>
      <c r="K166" s="851"/>
      <c r="L166" s="851"/>
      <c r="M166" s="851"/>
      <c r="N166" s="851"/>
      <c r="O166" s="851"/>
    </row>
    <row r="167" spans="1:15">
      <c r="B167" s="854"/>
      <c r="C167" s="855"/>
      <c r="D167" s="28" t="s">
        <v>141</v>
      </c>
      <c r="E167" s="29"/>
      <c r="F167" s="29" t="s">
        <v>5</v>
      </c>
      <c r="G167" s="30" t="s">
        <v>74</v>
      </c>
      <c r="H167" s="30" t="s">
        <v>76</v>
      </c>
      <c r="I167" s="31" t="s">
        <v>8</v>
      </c>
      <c r="J167" s="28" t="s">
        <v>141</v>
      </c>
      <c r="K167" s="29"/>
      <c r="L167" s="29" t="s">
        <v>5</v>
      </c>
      <c r="M167" s="30" t="s">
        <v>74</v>
      </c>
      <c r="N167" s="30" t="s">
        <v>76</v>
      </c>
      <c r="O167" s="31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 t="e">
        <f>D174+D175+D176</f>
        <v>#REF!</v>
      </c>
      <c r="E169" s="35"/>
      <c r="F169" s="36" t="e">
        <f>F170+F174+F175+F176</f>
        <v>#REF!</v>
      </c>
      <c r="G169" s="36" t="e">
        <f>G170+G174+G175+G176</f>
        <v>#REF!</v>
      </c>
      <c r="H169" s="36" t="e">
        <f>H170+H174+H175+H176</f>
        <v>#REF!</v>
      </c>
      <c r="I169" s="37" t="e">
        <f>I170+I174+I175+I176</f>
        <v>#REF!</v>
      </c>
      <c r="J169" s="34" t="e">
        <f>J174+J175+J176</f>
        <v>#REF!</v>
      </c>
      <c r="K169" s="35"/>
      <c r="L169" s="36" t="e">
        <f>L170+L174+L175+L176</f>
        <v>#REF!</v>
      </c>
      <c r="M169" s="36" t="e">
        <f>M170+M174+M175+M176</f>
        <v>#REF!</v>
      </c>
      <c r="N169" s="36" t="e">
        <f>N170+N174+N175+N176</f>
        <v>#REF!</v>
      </c>
      <c r="O169" s="37" t="e">
        <f>O170+O174+O175+O176</f>
        <v>#REF!</v>
      </c>
    </row>
    <row r="170" spans="1:15" ht="12.75">
      <c r="B170" s="38" t="s">
        <v>12</v>
      </c>
      <c r="C170" s="39" t="s">
        <v>143</v>
      </c>
      <c r="D170" s="675" t="e">
        <f t="shared" ref="D170:D177" si="29">SUM(F170:I170)</f>
        <v>#REF!</v>
      </c>
      <c r="E170" s="676"/>
      <c r="F170" s="676"/>
      <c r="G170" s="677" t="e">
        <f>SUM(G171:G173)</f>
        <v>#REF!</v>
      </c>
      <c r="H170" s="677" t="e">
        <f>SUM(H171:H173)</f>
        <v>#REF!</v>
      </c>
      <c r="I170" s="678" t="e">
        <f>SUM(I171:I173)</f>
        <v>#REF!</v>
      </c>
      <c r="J170" s="675" t="e">
        <f t="shared" ref="J170:J177" si="30">SUM(L170:O170)</f>
        <v>#REF!</v>
      </c>
      <c r="K170" s="676"/>
      <c r="L170" s="676"/>
      <c r="M170" s="677" t="e">
        <f>SUM(M171:M173)</f>
        <v>#REF!</v>
      </c>
      <c r="N170" s="677" t="e">
        <f>SUM(N171:N173)</f>
        <v>#REF!</v>
      </c>
      <c r="O170" s="678" t="e">
        <f>SUM(O171:O173)</f>
        <v>#REF!</v>
      </c>
    </row>
    <row r="171" spans="1:15" ht="12.75">
      <c r="B171" s="40" t="s">
        <v>144</v>
      </c>
      <c r="C171" s="41" t="s">
        <v>145</v>
      </c>
      <c r="D171" s="42" t="e">
        <f t="shared" si="29"/>
        <v>#REF!</v>
      </c>
      <c r="E171" s="43"/>
      <c r="F171" s="44"/>
      <c r="G171" s="45" t="e">
        <f>G31-G49-G61-G73-G85-G97-G78-G109-G121-G54-G66-G90-G102-G114-G126</f>
        <v>#REF!</v>
      </c>
      <c r="H171" s="45" t="e">
        <f>H31-H49-H61-H73-H85-H97-H78-H54-H109-H66-H90-H102-H114-H121-H126</f>
        <v>#REF!</v>
      </c>
      <c r="I171" s="46"/>
      <c r="J171" s="42" t="e">
        <f t="shared" si="30"/>
        <v>#REF!</v>
      </c>
      <c r="K171" s="43"/>
      <c r="L171" s="44"/>
      <c r="M171" s="45" t="e">
        <f>M31-M49-M61-M73-M85-M97-M78-M109-M121-M54-M66-M90-M102-M114-M126</f>
        <v>#REF!</v>
      </c>
      <c r="N171" s="45" t="e">
        <f>N31-N49-N61-N73-N85-N97-N78-N54-N109-N66-N90-N102-N114-N121-N126</f>
        <v>#REF!</v>
      </c>
      <c r="O171" s="46"/>
    </row>
    <row r="172" spans="1:15" ht="12.75">
      <c r="B172" s="47" t="s">
        <v>146</v>
      </c>
      <c r="C172" s="48" t="s">
        <v>6</v>
      </c>
      <c r="D172" s="42" t="e">
        <f t="shared" si="29"/>
        <v>#REF!</v>
      </c>
      <c r="E172" s="43"/>
      <c r="F172" s="44"/>
      <c r="G172" s="49"/>
      <c r="H172" s="45" t="e">
        <f>H32-H50-H62-H74-H86-H98-H110-H55-H67-H79-H91-H103-H115-H122-H127</f>
        <v>#REF!</v>
      </c>
      <c r="I172" s="50">
        <f>I32-I50-I55-I62-I67-I74-I79-I86-I91-I98-I103-I110-I115-I122-I127</f>
        <v>0</v>
      </c>
      <c r="J172" s="42" t="e">
        <f t="shared" si="30"/>
        <v>#REF!</v>
      </c>
      <c r="K172" s="43"/>
      <c r="L172" s="44"/>
      <c r="M172" s="49"/>
      <c r="N172" s="45" t="e">
        <f>N32-N50-N62-N74-N86-N98-N110-N55-N67-N79-N91-N103-N115-N122-N127</f>
        <v>#REF!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 t="e">
        <f t="shared" si="29"/>
        <v>#REF!</v>
      </c>
      <c r="E173" s="54"/>
      <c r="F173" s="55"/>
      <c r="G173" s="56"/>
      <c r="H173" s="56"/>
      <c r="I173" s="57" t="e">
        <f>I33-I51-I87-I75-I99-I111-I56-I63-I68-I80-I92-I104-I116-I123-I128</f>
        <v>#REF!</v>
      </c>
      <c r="J173" s="53" t="e">
        <f t="shared" si="30"/>
        <v>#REF!</v>
      </c>
      <c r="K173" s="54"/>
      <c r="L173" s="55"/>
      <c r="M173" s="56"/>
      <c r="N173" s="56"/>
      <c r="O173" s="57" t="e">
        <f>O33-O51-O87-O75-O99-O111-O56-O63-O68-O80-O92-O104-O116-O123-O128</f>
        <v>#REF!</v>
      </c>
    </row>
    <row r="174" spans="1:15" ht="12.75">
      <c r="B174" s="58" t="s">
        <v>14</v>
      </c>
      <c r="C174" s="39" t="s">
        <v>148</v>
      </c>
      <c r="D174" s="110" t="e">
        <f t="shared" si="29"/>
        <v>#REF!</v>
      </c>
      <c r="E174" s="111"/>
      <c r="F174" s="111" t="e">
        <f>F28+E28</f>
        <v>#REF!</v>
      </c>
      <c r="G174" s="112" t="e">
        <f>G28</f>
        <v>#REF!</v>
      </c>
      <c r="H174" s="112" t="e">
        <f>H28</f>
        <v>#REF!</v>
      </c>
      <c r="I174" s="113">
        <f>I28</f>
        <v>0</v>
      </c>
      <c r="J174" s="110" t="e">
        <f t="shared" si="30"/>
        <v>#REF!</v>
      </c>
      <c r="K174" s="111"/>
      <c r="L174" s="111" t="e">
        <f>L28+K28</f>
        <v>#REF!</v>
      </c>
      <c r="M174" s="112" t="e">
        <f>M28</f>
        <v>#REF!</v>
      </c>
      <c r="N174" s="112" t="e">
        <f>N28</f>
        <v>#REF!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 t="e">
        <f t="shared" si="29"/>
        <v>#REF!</v>
      </c>
      <c r="E175" s="124"/>
      <c r="F175" s="125" t="e">
        <f>F23+F24+F25+E23+E24+E25</f>
        <v>#REF!</v>
      </c>
      <c r="G175" s="125" t="e">
        <f>G23+G24+G25</f>
        <v>#REF!</v>
      </c>
      <c r="H175" s="125" t="e">
        <f>H23+H24+H25</f>
        <v>#REF!</v>
      </c>
      <c r="I175" s="126" t="e">
        <f>I23+I24+I25</f>
        <v>#REF!</v>
      </c>
      <c r="J175" s="123" t="e">
        <f t="shared" si="30"/>
        <v>#REF!</v>
      </c>
      <c r="K175" s="124"/>
      <c r="L175" s="125" t="e">
        <f>L23+L24+L25+K23+K24+K25</f>
        <v>#REF!</v>
      </c>
      <c r="M175" s="125" t="e">
        <f>M23+M24+M25</f>
        <v>#REF!</v>
      </c>
      <c r="N175" s="125" t="e">
        <f>N23+N24+N25</f>
        <v>#REF!</v>
      </c>
      <c r="O175" s="126" t="e">
        <f>O23+O24+O25</f>
        <v>#REF!</v>
      </c>
    </row>
    <row r="176" spans="1:15" ht="13.5" thickBot="1">
      <c r="B176" s="61" t="s">
        <v>20</v>
      </c>
      <c r="C176" s="62" t="s">
        <v>150</v>
      </c>
      <c r="D176" s="129" t="e">
        <f t="shared" si="29"/>
        <v>#REF!</v>
      </c>
      <c r="E176" s="130"/>
      <c r="F176" s="131">
        <f>F29+E29</f>
        <v>0</v>
      </c>
      <c r="G176" s="131" t="e">
        <f>G29</f>
        <v>#REF!</v>
      </c>
      <c r="H176" s="131">
        <f>H29</f>
        <v>0</v>
      </c>
      <c r="I176" s="132">
        <f>I29</f>
        <v>0</v>
      </c>
      <c r="J176" s="129" t="e">
        <f t="shared" si="30"/>
        <v>#REF!</v>
      </c>
      <c r="K176" s="130"/>
      <c r="L176" s="131">
        <f>L29+K29</f>
        <v>0</v>
      </c>
      <c r="M176" s="131" t="e">
        <f>M29</f>
        <v>#REF!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 t="e">
        <f t="shared" si="29"/>
        <v>#REF!</v>
      </c>
      <c r="E177" s="136"/>
      <c r="F177" s="136" t="e">
        <f>F169-F180-G171-H171</f>
        <v>#REF!</v>
      </c>
      <c r="G177" s="136" t="e">
        <f>G169-G180-H172-I172</f>
        <v>#REF!</v>
      </c>
      <c r="H177" s="136" t="e">
        <f>H169-H180-I173</f>
        <v>#REF!</v>
      </c>
      <c r="I177" s="137" t="e">
        <f>I169-I180</f>
        <v>#REF!</v>
      </c>
      <c r="J177" s="135" t="e">
        <f t="shared" si="30"/>
        <v>#REF!</v>
      </c>
      <c r="K177" s="136"/>
      <c r="L177" s="136" t="e">
        <f>L169-L180-M171-N171</f>
        <v>#REF!</v>
      </c>
      <c r="M177" s="136" t="e">
        <f>M169-M180-N172-O172</f>
        <v>#REF!</v>
      </c>
      <c r="N177" s="136" t="e">
        <f>N169-N180-O173</f>
        <v>#REF!</v>
      </c>
      <c r="O177" s="137" t="e">
        <f>O169-O180</f>
        <v>#REF!</v>
      </c>
    </row>
    <row r="178" spans="1:15" ht="13.5" thickBot="1">
      <c r="B178" s="64"/>
      <c r="C178" s="65" t="s">
        <v>152</v>
      </c>
      <c r="D178" s="441" t="e">
        <f>IF(D169=0,0,D177/D169*100)</f>
        <v>#REF!</v>
      </c>
      <c r="E178" s="140"/>
      <c r="F178" s="441" t="e">
        <f t="shared" ref="F178:I178" si="31">IF(F169=0,0,F177/F169*100)</f>
        <v>#REF!</v>
      </c>
      <c r="G178" s="441" t="e">
        <f t="shared" si="31"/>
        <v>#REF!</v>
      </c>
      <c r="H178" s="441" t="e">
        <f t="shared" si="31"/>
        <v>#REF!</v>
      </c>
      <c r="I178" s="441" t="e">
        <f t="shared" si="31"/>
        <v>#REF!</v>
      </c>
      <c r="J178" s="441" t="e">
        <f>IF(J169=0,0,J177/J169*100)</f>
        <v>#REF!</v>
      </c>
      <c r="K178" s="140"/>
      <c r="L178" s="441" t="e">
        <f t="shared" ref="L178:O178" si="32">IF(L169=0,0,L177/L169*100)</f>
        <v>#REF!</v>
      </c>
      <c r="M178" s="441" t="e">
        <f t="shared" si="32"/>
        <v>#REF!</v>
      </c>
      <c r="N178" s="441" t="e">
        <f t="shared" si="32"/>
        <v>#REF!</v>
      </c>
      <c r="O178" s="441" t="e">
        <f t="shared" si="32"/>
        <v>#REF!</v>
      </c>
    </row>
    <row r="179" spans="1:15" ht="26.25" thickBot="1">
      <c r="B179" s="66" t="s">
        <v>38</v>
      </c>
      <c r="C179" s="67" t="s">
        <v>153</v>
      </c>
      <c r="D179" s="143">
        <f t="shared" ref="D179:D184" si="33">SUM(F179:I179)</f>
        <v>0</v>
      </c>
      <c r="E179" s="144"/>
      <c r="F179" s="144"/>
      <c r="G179" s="145"/>
      <c r="H179" s="145"/>
      <c r="I179" s="146"/>
      <c r="J179" s="143">
        <f t="shared" ref="J179:J184" si="34">SUM(L179:O179)</f>
        <v>0</v>
      </c>
      <c r="K179" s="144"/>
      <c r="L179" s="144"/>
      <c r="M179" s="145"/>
      <c r="N179" s="145"/>
      <c r="O179" s="146"/>
    </row>
    <row r="180" spans="1:15" s="83" customFormat="1" ht="13.5" thickBot="1">
      <c r="B180" s="147" t="s">
        <v>52</v>
      </c>
      <c r="C180" s="148" t="s">
        <v>154</v>
      </c>
      <c r="D180" s="143" t="e">
        <f t="shared" si="33"/>
        <v>#REF!</v>
      </c>
      <c r="E180" s="144"/>
      <c r="F180" s="744" t="e">
        <f>F143+E143</f>
        <v>#REF!</v>
      </c>
      <c r="G180" s="744" t="e">
        <f>G143+G194</f>
        <v>#REF!</v>
      </c>
      <c r="H180" s="744" t="e">
        <f>H143+H194</f>
        <v>#REF!</v>
      </c>
      <c r="I180" s="745" t="e">
        <f>I143+I194</f>
        <v>#REF!</v>
      </c>
      <c r="J180" s="143" t="e">
        <f t="shared" si="34"/>
        <v>#REF!</v>
      </c>
      <c r="K180" s="144"/>
      <c r="L180" s="682" t="e">
        <f>L143+K143</f>
        <v>#REF!</v>
      </c>
      <c r="M180" s="682" t="e">
        <f>M143+M194</f>
        <v>#REF!</v>
      </c>
      <c r="N180" s="682" t="e">
        <f>N143+N194</f>
        <v>#REF!</v>
      </c>
      <c r="O180" s="683" t="e">
        <f>O143+O194</f>
        <v>#REF!</v>
      </c>
    </row>
    <row r="181" spans="1:15" ht="12.75">
      <c r="B181" s="70" t="s">
        <v>54</v>
      </c>
      <c r="C181" s="71" t="s">
        <v>155</v>
      </c>
      <c r="D181" s="151">
        <f t="shared" si="33"/>
        <v>0</v>
      </c>
      <c r="E181" s="152"/>
      <c r="F181" s="152"/>
      <c r="G181" s="153"/>
      <c r="H181" s="153"/>
      <c r="I181" s="154"/>
      <c r="J181" s="151">
        <f t="shared" si="34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3"/>
        <v>0</v>
      </c>
      <c r="E182" s="158"/>
      <c r="F182" s="159"/>
      <c r="G182" s="159"/>
      <c r="H182" s="159"/>
      <c r="I182" s="160"/>
      <c r="J182" s="157">
        <f t="shared" si="34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3"/>
        <v>0</v>
      </c>
      <c r="E183" s="164"/>
      <c r="F183" s="164"/>
      <c r="G183" s="165"/>
      <c r="H183" s="165"/>
      <c r="I183" s="166"/>
      <c r="J183" s="163">
        <f t="shared" si="34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3"/>
        <v>0</v>
      </c>
      <c r="E184" s="111"/>
      <c r="F184" s="111"/>
      <c r="G184" s="112"/>
      <c r="H184" s="112"/>
      <c r="I184" s="113"/>
      <c r="J184" s="110">
        <f t="shared" si="34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8" spans="1:15" ht="12.75" customHeight="1">
      <c r="A188" s="832"/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523"/>
      <c r="B194" s="524"/>
      <c r="C194" s="523" t="s">
        <v>193</v>
      </c>
      <c r="D194" s="523"/>
      <c r="E194" s="520"/>
      <c r="F194" s="483"/>
      <c r="G194" s="513" t="e">
        <f>'10 месяцев'!G194+#REF!</f>
        <v>#REF!</v>
      </c>
      <c r="H194" s="513" t="e">
        <f>'10 месяцев'!H194+#REF!</f>
        <v>#REF!</v>
      </c>
      <c r="I194" s="513" t="e">
        <f>'10 месяцев'!I194+#REF!</f>
        <v>#REF!</v>
      </c>
      <c r="J194" s="483"/>
      <c r="K194" s="483"/>
      <c r="L194" s="483"/>
      <c r="M194" s="483"/>
      <c r="N194" s="513" t="e">
        <f>'10 месяцев'!N194+#REF!</f>
        <v>#REF!</v>
      </c>
      <c r="O194" s="513" t="e">
        <f>'10 месяцев'!O194+#REF!</f>
        <v>#REF!</v>
      </c>
    </row>
    <row r="195" spans="1:15">
      <c r="A195" s="523"/>
      <c r="B195" s="524"/>
      <c r="C195" s="523" t="s">
        <v>196</v>
      </c>
      <c r="D195" s="523"/>
      <c r="E195" s="520"/>
      <c r="F195" s="513" t="e">
        <f>'10 месяцев'!F195+#REF!</f>
        <v>#REF!</v>
      </c>
      <c r="G195" s="483"/>
      <c r="H195" s="483"/>
      <c r="I195" s="483"/>
      <c r="J195" s="483"/>
      <c r="K195" s="483"/>
      <c r="L195" s="513" t="e">
        <f>'10 месяцев'!L195+#REF!</f>
        <v>#REF!</v>
      </c>
      <c r="M195" s="483"/>
      <c r="N195" s="483"/>
      <c r="O195" s="483"/>
    </row>
    <row r="198" spans="1:15">
      <c r="N198" s="321"/>
      <c r="O198" s="321"/>
    </row>
  </sheetData>
  <mergeCells count="25">
    <mergeCell ref="D166:I166"/>
    <mergeCell ref="J166:O166"/>
    <mergeCell ref="A188:O188"/>
    <mergeCell ref="A6:A29"/>
    <mergeCell ref="A30:A43"/>
    <mergeCell ref="A46:A150"/>
    <mergeCell ref="A151:A163"/>
    <mergeCell ref="B166:B167"/>
    <mergeCell ref="C166:C167"/>
    <mergeCell ref="O4:O5"/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I4:I5"/>
    <mergeCell ref="J4:J5"/>
    <mergeCell ref="K4:L4"/>
    <mergeCell ref="M4:M5"/>
    <mergeCell ref="N4:N5"/>
  </mergeCells>
  <pageMargins left="0.86614173228346458" right="0.27559055118110237" top="0.74803149606299213" bottom="0.55118110236220474" header="0.51181102362204722" footer="0.51181102362204722"/>
  <pageSetup paperSize="9" scale="64" firstPageNumber="0" orientation="landscape" horizontalDpi="300" verticalDpi="300" r:id="rId1"/>
  <headerFooter alignWithMargins="0"/>
  <rowBreaks count="2" manualBreakCount="2">
    <brk id="57" max="14" man="1"/>
    <brk id="164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S195"/>
  <sheetViews>
    <sheetView view="pageBreakPreview" zoomScale="90" zoomScaleSheetLayoutView="90" workbookViewId="0">
      <pane xSplit="3" ySplit="5" topLeftCell="D136" activePane="bottomRight" state="frozen"/>
      <selection pane="topRight" activeCell="D1" sqref="D1"/>
      <selection pane="bottomLeft" activeCell="A63" sqref="A63"/>
      <selection pane="bottomRight" activeCell="K148" sqref="K148:O149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.5703125" style="1" customWidth="1"/>
    <col min="6" max="6" width="11.85546875" style="1" customWidth="1"/>
    <col min="7" max="7" width="11.140625" style="1" customWidth="1"/>
    <col min="8" max="8" width="10.5703125" style="1" customWidth="1"/>
    <col min="9" max="10" width="11.85546875" style="1" customWidth="1"/>
    <col min="11" max="11" width="11.140625" style="1" customWidth="1"/>
    <col min="12" max="12" width="11.28515625" style="1" customWidth="1"/>
    <col min="13" max="14" width="10.28515625" style="1" customWidth="1"/>
    <col min="15" max="15" width="11.5703125" style="1" customWidth="1"/>
    <col min="16" max="16" width="16.140625" style="1" customWidth="1"/>
    <col min="17" max="17" width="10" style="1" customWidth="1"/>
    <col min="18" max="16384" width="9.140625" style="1"/>
  </cols>
  <sheetData>
    <row r="1" spans="1:15" ht="15.75">
      <c r="A1" s="817" t="s">
        <v>233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.75" thickBot="1">
      <c r="A3" s="856"/>
      <c r="B3" s="857" t="s">
        <v>0</v>
      </c>
      <c r="C3" s="858" t="s">
        <v>1</v>
      </c>
      <c r="D3" s="867" t="s">
        <v>2</v>
      </c>
      <c r="E3" s="867"/>
      <c r="F3" s="867"/>
      <c r="G3" s="867"/>
      <c r="H3" s="867"/>
      <c r="I3" s="867"/>
      <c r="J3" s="867" t="s">
        <v>3</v>
      </c>
      <c r="K3" s="867"/>
      <c r="L3" s="867"/>
      <c r="M3" s="867"/>
      <c r="N3" s="867"/>
      <c r="O3" s="867"/>
    </row>
    <row r="4" spans="1:15" s="3" customFormat="1" ht="12.75" customHeight="1" thickTop="1" thickBot="1">
      <c r="A4" s="856"/>
      <c r="B4" s="857"/>
      <c r="C4" s="858"/>
      <c r="D4" s="865" t="s">
        <v>4</v>
      </c>
      <c r="E4" s="866" t="s">
        <v>5</v>
      </c>
      <c r="F4" s="866"/>
      <c r="G4" s="868" t="s">
        <v>6</v>
      </c>
      <c r="H4" s="868" t="s">
        <v>7</v>
      </c>
      <c r="I4" s="864" t="s">
        <v>8</v>
      </c>
      <c r="J4" s="865" t="s">
        <v>4</v>
      </c>
      <c r="K4" s="866" t="s">
        <v>5</v>
      </c>
      <c r="L4" s="866"/>
      <c r="M4" s="868" t="s">
        <v>6</v>
      </c>
      <c r="N4" s="868" t="s">
        <v>7</v>
      </c>
      <c r="O4" s="864" t="s">
        <v>8</v>
      </c>
    </row>
    <row r="5" spans="1:15" s="6" customFormat="1" ht="13.5" thickTop="1" thickBot="1">
      <c r="A5" s="856"/>
      <c r="B5" s="857"/>
      <c r="C5" s="858"/>
      <c r="D5" s="865"/>
      <c r="E5" s="587">
        <v>220</v>
      </c>
      <c r="F5" s="587">
        <v>110</v>
      </c>
      <c r="G5" s="868"/>
      <c r="H5" s="868"/>
      <c r="I5" s="864"/>
      <c r="J5" s="865"/>
      <c r="K5" s="5">
        <v>220</v>
      </c>
      <c r="L5" s="178">
        <v>110</v>
      </c>
      <c r="M5" s="868"/>
      <c r="N5" s="868"/>
      <c r="O5" s="864"/>
    </row>
    <row r="6" spans="1:15" ht="13.5" thickTop="1" thickBot="1">
      <c r="A6" s="862" t="s">
        <v>9</v>
      </c>
      <c r="B6" s="179" t="s">
        <v>10</v>
      </c>
      <c r="C6" s="179" t="s">
        <v>11</v>
      </c>
      <c r="D6" s="180" t="e">
        <f t="shared" ref="D6:O6" si="0">SUM(D7:D9,D12,D14)</f>
        <v>#REF!</v>
      </c>
      <c r="E6" s="181" t="e">
        <f t="shared" si="0"/>
        <v>#REF!</v>
      </c>
      <c r="F6" s="181" t="e">
        <f t="shared" si="0"/>
        <v>#REF!</v>
      </c>
      <c r="G6" s="181" t="e">
        <f t="shared" si="0"/>
        <v>#REF!</v>
      </c>
      <c r="H6" s="181" t="e">
        <f t="shared" si="0"/>
        <v>#REF!</v>
      </c>
      <c r="I6" s="181" t="e">
        <f t="shared" si="0"/>
        <v>#REF!</v>
      </c>
      <c r="J6" s="180" t="e">
        <f t="shared" si="0"/>
        <v>#REF!</v>
      </c>
      <c r="K6" s="181" t="e">
        <f t="shared" si="0"/>
        <v>#REF!</v>
      </c>
      <c r="L6" s="181" t="e">
        <f t="shared" si="0"/>
        <v>#REF!</v>
      </c>
      <c r="M6" s="181" t="e">
        <f t="shared" si="0"/>
        <v>#REF!</v>
      </c>
      <c r="N6" s="181" t="e">
        <f t="shared" si="0"/>
        <v>#REF!</v>
      </c>
      <c r="O6" s="181" t="e">
        <f t="shared" si="0"/>
        <v>#REF!</v>
      </c>
    </row>
    <row r="7" spans="1:15" ht="13.5" thickTop="1" thickBot="1">
      <c r="A7" s="862"/>
      <c r="B7" s="182" t="s">
        <v>12</v>
      </c>
      <c r="C7" s="182" t="s">
        <v>13</v>
      </c>
      <c r="D7" s="183">
        <f>SUM(E7:I7)</f>
        <v>0</v>
      </c>
      <c r="E7" s="235"/>
      <c r="F7" s="235"/>
      <c r="G7" s="235"/>
      <c r="H7" s="235"/>
      <c r="I7" s="235"/>
      <c r="J7" s="183">
        <f>SUM(K7:O7)</f>
        <v>0</v>
      </c>
      <c r="K7" s="235"/>
      <c r="L7" s="235"/>
      <c r="M7" s="235"/>
      <c r="N7" s="235"/>
      <c r="O7" s="235"/>
    </row>
    <row r="8" spans="1:15" ht="13.5" thickTop="1" thickBot="1">
      <c r="A8" s="862"/>
      <c r="B8" s="182" t="s">
        <v>14</v>
      </c>
      <c r="C8" s="182" t="s">
        <v>15</v>
      </c>
      <c r="D8" s="183" t="e">
        <f>SUM(E8:I8)</f>
        <v>#REF!</v>
      </c>
      <c r="E8" s="184" t="e">
        <f>'3 квартал'!E8+#REF!</f>
        <v>#REF!</v>
      </c>
      <c r="F8" s="184" t="e">
        <f>'3 квартал'!F8+#REF!</f>
        <v>#REF!</v>
      </c>
      <c r="G8" s="184" t="e">
        <f>'3 квартал'!G8+#REF!</f>
        <v>#REF!</v>
      </c>
      <c r="H8" s="184" t="e">
        <f>'3 квартал'!H8+#REF!</f>
        <v>#REF!</v>
      </c>
      <c r="I8" s="184" t="e">
        <f>'3 квартал'!I8+#REF!</f>
        <v>#REF!</v>
      </c>
      <c r="J8" s="183" t="e">
        <f>SUM(K8:O8)</f>
        <v>#REF!</v>
      </c>
      <c r="K8" s="184" t="e">
        <f>'3 квартал'!K8+#REF!</f>
        <v>#REF!</v>
      </c>
      <c r="L8" s="184" t="e">
        <f>'3 квартал'!L8+#REF!</f>
        <v>#REF!</v>
      </c>
      <c r="M8" s="184" t="e">
        <f>'3 квартал'!M8+#REF!</f>
        <v>#REF!</v>
      </c>
      <c r="N8" s="184" t="e">
        <f>'3 квартал'!N8+#REF!</f>
        <v>#REF!</v>
      </c>
      <c r="O8" s="184" t="e">
        <f>'3 квартал'!O8+#REF!</f>
        <v>#REF!</v>
      </c>
    </row>
    <row r="9" spans="1:15" ht="13.5" thickTop="1" thickBot="1">
      <c r="A9" s="862"/>
      <c r="B9" s="182" t="s">
        <v>16</v>
      </c>
      <c r="C9" s="182" t="s">
        <v>17</v>
      </c>
      <c r="D9" s="183" t="e">
        <f t="shared" ref="D9:O9" si="1">SUM(D10:D11)</f>
        <v>#REF!</v>
      </c>
      <c r="E9" s="185">
        <f t="shared" si="1"/>
        <v>0</v>
      </c>
      <c r="F9" s="185" t="e">
        <f t="shared" si="1"/>
        <v>#REF!</v>
      </c>
      <c r="G9" s="185">
        <f t="shared" si="1"/>
        <v>0</v>
      </c>
      <c r="H9" s="185">
        <f t="shared" si="1"/>
        <v>0</v>
      </c>
      <c r="I9" s="185">
        <f t="shared" si="1"/>
        <v>0</v>
      </c>
      <c r="J9" s="183" t="e">
        <f t="shared" si="1"/>
        <v>#REF!</v>
      </c>
      <c r="K9" s="185">
        <f t="shared" si="1"/>
        <v>0</v>
      </c>
      <c r="L9" s="185" t="e">
        <f t="shared" si="1"/>
        <v>#REF!</v>
      </c>
      <c r="M9" s="185">
        <f t="shared" si="1"/>
        <v>0</v>
      </c>
      <c r="N9" s="185">
        <f t="shared" si="1"/>
        <v>0</v>
      </c>
      <c r="O9" s="185">
        <f t="shared" si="1"/>
        <v>0</v>
      </c>
    </row>
    <row r="10" spans="1:15" ht="13.5" thickTop="1" thickBot="1">
      <c r="A10" s="862"/>
      <c r="B10" s="186" t="s">
        <v>18</v>
      </c>
      <c r="C10" s="187" t="s">
        <v>192</v>
      </c>
      <c r="D10" s="188" t="e">
        <f>SUM(F10:I10)</f>
        <v>#REF!</v>
      </c>
      <c r="E10" s="235"/>
      <c r="F10" s="184" t="e">
        <f>'3 квартал'!F10+#REF!</f>
        <v>#REF!</v>
      </c>
      <c r="G10" s="235"/>
      <c r="H10" s="235"/>
      <c r="I10" s="235"/>
      <c r="J10" s="188" t="e">
        <f>SUM(L10:O10)</f>
        <v>#REF!</v>
      </c>
      <c r="K10" s="235"/>
      <c r="L10" s="184" t="e">
        <f>'3 квартал'!L10+#REF!</f>
        <v>#REF!</v>
      </c>
      <c r="M10" s="235"/>
      <c r="N10" s="235"/>
      <c r="O10" s="235"/>
    </row>
    <row r="11" spans="1:15" ht="13.5" thickTop="1" thickBot="1">
      <c r="A11" s="862"/>
      <c r="B11" s="186" t="s">
        <v>19</v>
      </c>
      <c r="C11" s="187" t="s">
        <v>191</v>
      </c>
      <c r="D11" s="188" t="e">
        <f>SUM(F11:I11)</f>
        <v>#REF!</v>
      </c>
      <c r="E11" s="235"/>
      <c r="F11" s="184" t="e">
        <f>'3 квартал'!F11+#REF!</f>
        <v>#REF!</v>
      </c>
      <c r="G11" s="235"/>
      <c r="H11" s="235"/>
      <c r="I11" s="235"/>
      <c r="J11" s="188" t="e">
        <f>SUM(L11:O11)</f>
        <v>#REF!</v>
      </c>
      <c r="K11" s="235"/>
      <c r="L11" s="184" t="e">
        <f>'3 квартал'!L11+#REF!</f>
        <v>#REF!</v>
      </c>
      <c r="M11" s="235"/>
      <c r="N11" s="235"/>
      <c r="O11" s="235"/>
    </row>
    <row r="12" spans="1:15" ht="13.5" thickTop="1" thickBot="1">
      <c r="A12" s="862"/>
      <c r="B12" s="182" t="s">
        <v>20</v>
      </c>
      <c r="C12" s="182" t="s">
        <v>21</v>
      </c>
      <c r="D12" s="183" t="e">
        <f>SUM(E12:I12)</f>
        <v>#REF!</v>
      </c>
      <c r="E12" s="235"/>
      <c r="F12" s="184" t="e">
        <f>'3 квартал'!F12+#REF!</f>
        <v>#REF!</v>
      </c>
      <c r="G12" s="184" t="e">
        <f>'3 квартал'!G12+#REF!</f>
        <v>#REF!</v>
      </c>
      <c r="H12" s="184" t="e">
        <f>'3 квартал'!H12+#REF!</f>
        <v>#REF!</v>
      </c>
      <c r="I12" s="235">
        <v>0</v>
      </c>
      <c r="J12" s="183" t="e">
        <f>SUM(K12:O12)</f>
        <v>#REF!</v>
      </c>
      <c r="K12" s="235"/>
      <c r="L12" s="184" t="e">
        <f>'3 квартал'!L12+#REF!</f>
        <v>#REF!</v>
      </c>
      <c r="M12" s="184" t="e">
        <f>'3 квартал'!M12+#REF!</f>
        <v>#REF!</v>
      </c>
      <c r="N12" s="184" t="e">
        <f>'3 квартал'!N12+#REF!</f>
        <v>#REF!</v>
      </c>
      <c r="O12" s="235"/>
    </row>
    <row r="13" spans="1:15" ht="13.5" thickTop="1" thickBot="1">
      <c r="A13" s="862"/>
      <c r="B13" s="186" t="s">
        <v>22</v>
      </c>
      <c r="C13" s="187" t="s">
        <v>23</v>
      </c>
      <c r="D13" s="183">
        <f>SUM(E13:I13)</f>
        <v>0</v>
      </c>
      <c r="E13" s="235"/>
      <c r="F13" s="235"/>
      <c r="G13" s="235"/>
      <c r="H13" s="235"/>
      <c r="I13" s="235">
        <v>0</v>
      </c>
      <c r="J13" s="183">
        <f>SUM(K13:O13)</f>
        <v>0</v>
      </c>
      <c r="K13" s="235"/>
      <c r="L13" s="235"/>
      <c r="M13" s="235"/>
      <c r="N13" s="235"/>
      <c r="O13" s="235"/>
    </row>
    <row r="14" spans="1:15" ht="13.5" thickTop="1" thickBot="1">
      <c r="A14" s="862"/>
      <c r="B14" s="182" t="s">
        <v>24</v>
      </c>
      <c r="C14" s="182" t="s">
        <v>25</v>
      </c>
      <c r="D14" s="183" t="e">
        <f>SUM(E14:I14)</f>
        <v>#REF!</v>
      </c>
      <c r="E14" s="235"/>
      <c r="F14" s="235"/>
      <c r="G14" s="184" t="e">
        <f>'3 квартал'!G14+#REF!</f>
        <v>#REF!</v>
      </c>
      <c r="H14" s="235"/>
      <c r="I14" s="235">
        <v>0</v>
      </c>
      <c r="J14" s="183" t="e">
        <f>SUM(K14:O14)</f>
        <v>#REF!</v>
      </c>
      <c r="K14" s="235"/>
      <c r="L14" s="235"/>
      <c r="M14" s="184" t="e">
        <f>'3 квартал'!M14+#REF!</f>
        <v>#REF!</v>
      </c>
      <c r="N14" s="235"/>
      <c r="O14" s="235"/>
    </row>
    <row r="15" spans="1:15" ht="13.5" thickTop="1" thickBot="1">
      <c r="A15" s="862"/>
      <c r="B15" s="179" t="s">
        <v>26</v>
      </c>
      <c r="C15" s="179" t="s">
        <v>27</v>
      </c>
      <c r="D15" s="180" t="e">
        <f t="shared" ref="D15:O15" si="2">SUM(D16:D18,D21)</f>
        <v>#REF!</v>
      </c>
      <c r="E15" s="189" t="e">
        <f t="shared" si="2"/>
        <v>#REF!</v>
      </c>
      <c r="F15" s="189" t="e">
        <f t="shared" si="2"/>
        <v>#REF!</v>
      </c>
      <c r="G15" s="189" t="e">
        <f t="shared" si="2"/>
        <v>#REF!</v>
      </c>
      <c r="H15" s="189" t="e">
        <f t="shared" si="2"/>
        <v>#REF!</v>
      </c>
      <c r="I15" s="189" t="e">
        <f t="shared" si="2"/>
        <v>#REF!</v>
      </c>
      <c r="J15" s="180" t="e">
        <f t="shared" si="2"/>
        <v>#REF!</v>
      </c>
      <c r="K15" s="189" t="e">
        <f t="shared" si="2"/>
        <v>#REF!</v>
      </c>
      <c r="L15" s="189" t="e">
        <f t="shared" si="2"/>
        <v>#REF!</v>
      </c>
      <c r="M15" s="189" t="e">
        <f t="shared" si="2"/>
        <v>#REF!</v>
      </c>
      <c r="N15" s="189" t="e">
        <f t="shared" si="2"/>
        <v>#REF!</v>
      </c>
      <c r="O15" s="189" t="e">
        <f t="shared" si="2"/>
        <v>#REF!</v>
      </c>
    </row>
    <row r="16" spans="1:15" ht="13.5" thickTop="1" thickBot="1">
      <c r="A16" s="862"/>
      <c r="B16" s="182" t="s">
        <v>28</v>
      </c>
      <c r="C16" s="182" t="s">
        <v>29</v>
      </c>
      <c r="D16" s="183">
        <f>SUM(E16:I16)</f>
        <v>0</v>
      </c>
      <c r="E16" s="235"/>
      <c r="F16" s="235"/>
      <c r="G16" s="235"/>
      <c r="H16" s="235"/>
      <c r="I16" s="235">
        <v>0</v>
      </c>
      <c r="J16" s="183">
        <f>SUM(K16:O16)</f>
        <v>0</v>
      </c>
      <c r="K16" s="235"/>
      <c r="L16" s="235"/>
      <c r="M16" s="235"/>
      <c r="N16" s="235"/>
      <c r="O16" s="235"/>
    </row>
    <row r="17" spans="1:15" ht="13.5" thickTop="1" thickBot="1">
      <c r="A17" s="862"/>
      <c r="B17" s="182" t="s">
        <v>30</v>
      </c>
      <c r="C17" s="182" t="s">
        <v>31</v>
      </c>
      <c r="D17" s="183" t="e">
        <f>SUM(E17:I17)</f>
        <v>#REF!</v>
      </c>
      <c r="E17" s="184" t="e">
        <f>'3 квартал'!E17+#REF!</f>
        <v>#REF!</v>
      </c>
      <c r="F17" s="184" t="e">
        <f>'3 квартал'!F17+#REF!</f>
        <v>#REF!</v>
      </c>
      <c r="G17" s="184" t="e">
        <f>'3 квартал'!G17+#REF!</f>
        <v>#REF!</v>
      </c>
      <c r="H17" s="184" t="e">
        <f>'3 квартал'!H17+#REF!</f>
        <v>#REF!</v>
      </c>
      <c r="I17" s="184" t="e">
        <f>'3 квартал'!I17+#REF!</f>
        <v>#REF!</v>
      </c>
      <c r="J17" s="183" t="e">
        <f>SUM(K17:O17)</f>
        <v>#REF!</v>
      </c>
      <c r="K17" s="184" t="e">
        <f>'3 квартал'!K17+#REF!</f>
        <v>#REF!</v>
      </c>
      <c r="L17" s="184" t="e">
        <f>'3 квартал'!L17+#REF!</f>
        <v>#REF!</v>
      </c>
      <c r="M17" s="184" t="e">
        <f>'3 квартал'!M17+#REF!</f>
        <v>#REF!</v>
      </c>
      <c r="N17" s="184" t="e">
        <f>'3 квартал'!N17+#REF!</f>
        <v>#REF!</v>
      </c>
      <c r="O17" s="184" t="e">
        <f>'3 квартал'!O17+#REF!</f>
        <v>#REF!</v>
      </c>
    </row>
    <row r="18" spans="1:15" ht="13.5" thickTop="1" thickBot="1">
      <c r="A18" s="862"/>
      <c r="B18" s="182" t="s">
        <v>32</v>
      </c>
      <c r="C18" s="182" t="s">
        <v>33</v>
      </c>
      <c r="D18" s="183" t="e">
        <f t="shared" ref="D18:O18" si="3">SUM(D19:D20)</f>
        <v>#REF!</v>
      </c>
      <c r="E18" s="185">
        <f t="shared" si="3"/>
        <v>0</v>
      </c>
      <c r="F18" s="185" t="e">
        <f t="shared" si="3"/>
        <v>#REF!</v>
      </c>
      <c r="G18" s="185" t="e">
        <f t="shared" si="3"/>
        <v>#REF!</v>
      </c>
      <c r="H18" s="185">
        <f t="shared" si="3"/>
        <v>0</v>
      </c>
      <c r="I18" s="185">
        <f t="shared" si="3"/>
        <v>0</v>
      </c>
      <c r="J18" s="183" t="e">
        <f t="shared" si="3"/>
        <v>#REF!</v>
      </c>
      <c r="K18" s="185">
        <f t="shared" si="3"/>
        <v>0</v>
      </c>
      <c r="L18" s="185" t="e">
        <f t="shared" si="3"/>
        <v>#REF!</v>
      </c>
      <c r="M18" s="185" t="e">
        <f t="shared" si="3"/>
        <v>#REF!</v>
      </c>
      <c r="N18" s="185">
        <f t="shared" si="3"/>
        <v>0</v>
      </c>
      <c r="O18" s="185">
        <f t="shared" si="3"/>
        <v>0</v>
      </c>
    </row>
    <row r="19" spans="1:15" ht="13.5" thickTop="1" thickBot="1">
      <c r="A19" s="862"/>
      <c r="B19" s="186" t="s">
        <v>34</v>
      </c>
      <c r="C19" s="187" t="s">
        <v>192</v>
      </c>
      <c r="D19" s="188" t="e">
        <f t="shared" ref="D19:D29" si="4">SUM(E19:I19)</f>
        <v>#REF!</v>
      </c>
      <c r="E19" s="235"/>
      <c r="F19" s="184" t="e">
        <f>'3 квартал'!F19+#REF!</f>
        <v>#REF!</v>
      </c>
      <c r="G19" s="235"/>
      <c r="H19" s="235"/>
      <c r="I19" s="235">
        <v>0</v>
      </c>
      <c r="J19" s="188" t="e">
        <f t="shared" ref="J19:J29" si="5">SUM(K19:O19)</f>
        <v>#REF!</v>
      </c>
      <c r="K19" s="235"/>
      <c r="L19" s="184" t="e">
        <f>'3 квартал'!L19+#REF!</f>
        <v>#REF!</v>
      </c>
      <c r="M19" s="235"/>
      <c r="N19" s="235"/>
      <c r="O19" s="235"/>
    </row>
    <row r="20" spans="1:15" ht="13.5" thickTop="1" thickBot="1">
      <c r="A20" s="862"/>
      <c r="B20" s="190" t="s">
        <v>35</v>
      </c>
      <c r="C20" s="187" t="s">
        <v>191</v>
      </c>
      <c r="D20" s="188" t="e">
        <f t="shared" si="4"/>
        <v>#REF!</v>
      </c>
      <c r="E20" s="235"/>
      <c r="F20" s="184" t="e">
        <f>'3 квартал'!F20+#REF!</f>
        <v>#REF!</v>
      </c>
      <c r="G20" s="184" t="e">
        <f>'3 квартал'!G20+#REF!</f>
        <v>#REF!</v>
      </c>
      <c r="H20" s="235"/>
      <c r="I20" s="235">
        <v>0</v>
      </c>
      <c r="J20" s="188" t="e">
        <f t="shared" si="5"/>
        <v>#REF!</v>
      </c>
      <c r="K20" s="235"/>
      <c r="L20" s="184" t="e">
        <f>'3 квартал'!L20+#REF!</f>
        <v>#REF!</v>
      </c>
      <c r="M20" s="184" t="e">
        <f>'3 квартал'!M20+#REF!</f>
        <v>#REF!</v>
      </c>
      <c r="N20" s="235"/>
      <c r="O20" s="235"/>
    </row>
    <row r="21" spans="1:15" ht="13.5" thickTop="1" thickBot="1">
      <c r="A21" s="862"/>
      <c r="B21" s="182" t="s">
        <v>36</v>
      </c>
      <c r="C21" s="182" t="s">
        <v>37</v>
      </c>
      <c r="D21" s="183" t="e">
        <f t="shared" si="4"/>
        <v>#REF!</v>
      </c>
      <c r="E21" s="235"/>
      <c r="F21" s="184" t="e">
        <f>'3 квартал'!F21+#REF!</f>
        <v>#REF!</v>
      </c>
      <c r="G21" s="184" t="e">
        <f>'3 квартал'!G21+#REF!</f>
        <v>#REF!</v>
      </c>
      <c r="H21" s="235"/>
      <c r="I21" s="235">
        <v>0</v>
      </c>
      <c r="J21" s="183" t="e">
        <f t="shared" si="5"/>
        <v>#REF!</v>
      </c>
      <c r="K21" s="235"/>
      <c r="L21" s="184" t="e">
        <f>'3 квартал'!L21+#REF!</f>
        <v>#REF!</v>
      </c>
      <c r="M21" s="184" t="e">
        <f>'3 квартал'!M21+#REF!</f>
        <v>#REF!</v>
      </c>
      <c r="N21" s="235"/>
      <c r="O21" s="235"/>
    </row>
    <row r="22" spans="1:15" s="17" customFormat="1" ht="13.5" thickTop="1" thickBot="1">
      <c r="A22" s="862"/>
      <c r="B22" s="232" t="s">
        <v>38</v>
      </c>
      <c r="C22" s="232" t="s">
        <v>39</v>
      </c>
      <c r="D22" s="192" t="e">
        <f t="shared" si="4"/>
        <v>#REF!</v>
      </c>
      <c r="E22" s="192" t="e">
        <f>SUM(E23:E25,E28,E29)</f>
        <v>#REF!</v>
      </c>
      <c r="F22" s="192" t="e">
        <f>SUM(F23:F25,F28,F29)</f>
        <v>#REF!</v>
      </c>
      <c r="G22" s="192" t="e">
        <f>SUM(G23:G25,G28,G29)</f>
        <v>#REF!</v>
      </c>
      <c r="H22" s="192" t="e">
        <f>SUM(H23:H25,H28,H29)</f>
        <v>#REF!</v>
      </c>
      <c r="I22" s="192" t="e">
        <f>SUM(I23:I25,I28,I29)</f>
        <v>#REF!</v>
      </c>
      <c r="J22" s="192" t="e">
        <f t="shared" si="5"/>
        <v>#REF!</v>
      </c>
      <c r="K22" s="192" t="e">
        <f>SUM(K23:K25,K28,K29)</f>
        <v>#REF!</v>
      </c>
      <c r="L22" s="192" t="e">
        <f>SUM(L23:L25,L28,L29)</f>
        <v>#REF!</v>
      </c>
      <c r="M22" s="192" t="e">
        <f>SUM(M23:M25,M28,M29)</f>
        <v>#REF!</v>
      </c>
      <c r="N22" s="192" t="e">
        <f>SUM(N23:N25,N28,N29)</f>
        <v>#REF!</v>
      </c>
      <c r="O22" s="192" t="e">
        <f>SUM(O23:O25,O28,O29)</f>
        <v>#REF!</v>
      </c>
    </row>
    <row r="23" spans="1:15" ht="13.5" thickTop="1" thickBot="1">
      <c r="A23" s="862"/>
      <c r="B23" s="182" t="s">
        <v>40</v>
      </c>
      <c r="C23" s="182" t="s">
        <v>41</v>
      </c>
      <c r="D23" s="183">
        <f t="shared" si="4"/>
        <v>0</v>
      </c>
      <c r="E23" s="183">
        <f t="shared" ref="E23:I28" si="6">E7-E16</f>
        <v>0</v>
      </c>
      <c r="F23" s="183">
        <f t="shared" si="6"/>
        <v>0</v>
      </c>
      <c r="G23" s="183">
        <f t="shared" si="6"/>
        <v>0</v>
      </c>
      <c r="H23" s="183">
        <f t="shared" si="6"/>
        <v>0</v>
      </c>
      <c r="I23" s="183">
        <f t="shared" si="6"/>
        <v>0</v>
      </c>
      <c r="J23" s="183">
        <f t="shared" si="5"/>
        <v>0</v>
      </c>
      <c r="K23" s="183">
        <f t="shared" ref="K23:O28" si="7">K7-K16</f>
        <v>0</v>
      </c>
      <c r="L23" s="183">
        <f t="shared" si="7"/>
        <v>0</v>
      </c>
      <c r="M23" s="183">
        <f t="shared" si="7"/>
        <v>0</v>
      </c>
      <c r="N23" s="183">
        <f t="shared" si="7"/>
        <v>0</v>
      </c>
      <c r="O23" s="183">
        <f t="shared" si="7"/>
        <v>0</v>
      </c>
    </row>
    <row r="24" spans="1:15" ht="13.5" thickTop="1" thickBot="1">
      <c r="A24" s="862"/>
      <c r="B24" s="182" t="s">
        <v>42</v>
      </c>
      <c r="C24" s="182" t="s">
        <v>43</v>
      </c>
      <c r="D24" s="183" t="e">
        <f t="shared" si="4"/>
        <v>#REF!</v>
      </c>
      <c r="E24" s="183" t="e">
        <f t="shared" si="6"/>
        <v>#REF!</v>
      </c>
      <c r="F24" s="183" t="e">
        <f t="shared" si="6"/>
        <v>#REF!</v>
      </c>
      <c r="G24" s="183" t="e">
        <f t="shared" si="6"/>
        <v>#REF!</v>
      </c>
      <c r="H24" s="183" t="e">
        <f t="shared" si="6"/>
        <v>#REF!</v>
      </c>
      <c r="I24" s="183" t="e">
        <f t="shared" si="6"/>
        <v>#REF!</v>
      </c>
      <c r="J24" s="183" t="e">
        <f t="shared" si="5"/>
        <v>#REF!</v>
      </c>
      <c r="K24" s="183" t="e">
        <f t="shared" si="7"/>
        <v>#REF!</v>
      </c>
      <c r="L24" s="183" t="e">
        <f t="shared" si="7"/>
        <v>#REF!</v>
      </c>
      <c r="M24" s="183" t="e">
        <f t="shared" si="7"/>
        <v>#REF!</v>
      </c>
      <c r="N24" s="183" t="e">
        <f t="shared" si="7"/>
        <v>#REF!</v>
      </c>
      <c r="O24" s="183" t="e">
        <f t="shared" si="7"/>
        <v>#REF!</v>
      </c>
    </row>
    <row r="25" spans="1:15" ht="13.5" thickTop="1" thickBot="1">
      <c r="A25" s="862"/>
      <c r="B25" s="182" t="s">
        <v>44</v>
      </c>
      <c r="C25" s="182" t="s">
        <v>45</v>
      </c>
      <c r="D25" s="183" t="e">
        <f t="shared" si="4"/>
        <v>#REF!</v>
      </c>
      <c r="E25" s="183">
        <f t="shared" si="6"/>
        <v>0</v>
      </c>
      <c r="F25" s="183" t="e">
        <f t="shared" si="6"/>
        <v>#REF!</v>
      </c>
      <c r="G25" s="183" t="e">
        <f t="shared" si="6"/>
        <v>#REF!</v>
      </c>
      <c r="H25" s="183">
        <f t="shared" si="6"/>
        <v>0</v>
      </c>
      <c r="I25" s="183">
        <f t="shared" si="6"/>
        <v>0</v>
      </c>
      <c r="J25" s="183" t="e">
        <f t="shared" si="5"/>
        <v>#REF!</v>
      </c>
      <c r="K25" s="183">
        <f t="shared" si="7"/>
        <v>0</v>
      </c>
      <c r="L25" s="183" t="e">
        <f t="shared" si="7"/>
        <v>#REF!</v>
      </c>
      <c r="M25" s="183" t="e">
        <f t="shared" si="7"/>
        <v>#REF!</v>
      </c>
      <c r="N25" s="183">
        <f t="shared" si="7"/>
        <v>0</v>
      </c>
      <c r="O25" s="183">
        <f t="shared" si="7"/>
        <v>0</v>
      </c>
    </row>
    <row r="26" spans="1:15" ht="13.5" thickTop="1" thickBot="1">
      <c r="A26" s="862"/>
      <c r="B26" s="186" t="s">
        <v>46</v>
      </c>
      <c r="C26" s="187" t="s">
        <v>192</v>
      </c>
      <c r="D26" s="183" t="e">
        <f t="shared" si="4"/>
        <v>#REF!</v>
      </c>
      <c r="E26" s="188">
        <f t="shared" si="6"/>
        <v>0</v>
      </c>
      <c r="F26" s="188" t="e">
        <f t="shared" si="6"/>
        <v>#REF!</v>
      </c>
      <c r="G26" s="188">
        <f t="shared" si="6"/>
        <v>0</v>
      </c>
      <c r="H26" s="188">
        <f t="shared" si="6"/>
        <v>0</v>
      </c>
      <c r="I26" s="188">
        <f t="shared" si="6"/>
        <v>0</v>
      </c>
      <c r="J26" s="183" t="e">
        <f t="shared" si="5"/>
        <v>#REF!</v>
      </c>
      <c r="K26" s="188">
        <f t="shared" si="7"/>
        <v>0</v>
      </c>
      <c r="L26" s="188" t="e">
        <f t="shared" si="7"/>
        <v>#REF!</v>
      </c>
      <c r="M26" s="188">
        <f t="shared" si="7"/>
        <v>0</v>
      </c>
      <c r="N26" s="188">
        <f t="shared" si="7"/>
        <v>0</v>
      </c>
      <c r="O26" s="188">
        <f t="shared" si="7"/>
        <v>0</v>
      </c>
    </row>
    <row r="27" spans="1:15" ht="13.5" thickTop="1" thickBot="1">
      <c r="A27" s="862"/>
      <c r="B27" s="186" t="s">
        <v>47</v>
      </c>
      <c r="C27" s="187" t="s">
        <v>191</v>
      </c>
      <c r="D27" s="183" t="e">
        <f t="shared" si="4"/>
        <v>#REF!</v>
      </c>
      <c r="E27" s="188">
        <f t="shared" si="6"/>
        <v>0</v>
      </c>
      <c r="F27" s="188" t="e">
        <f t="shared" si="6"/>
        <v>#REF!</v>
      </c>
      <c r="G27" s="188" t="e">
        <f t="shared" si="6"/>
        <v>#REF!</v>
      </c>
      <c r="H27" s="188">
        <f t="shared" si="6"/>
        <v>0</v>
      </c>
      <c r="I27" s="188">
        <f t="shared" si="6"/>
        <v>0</v>
      </c>
      <c r="J27" s="183" t="e">
        <f t="shared" si="5"/>
        <v>#REF!</v>
      </c>
      <c r="K27" s="188">
        <f t="shared" si="7"/>
        <v>0</v>
      </c>
      <c r="L27" s="188" t="e">
        <f t="shared" si="7"/>
        <v>#REF!</v>
      </c>
      <c r="M27" s="188" t="e">
        <f t="shared" si="7"/>
        <v>#REF!</v>
      </c>
      <c r="N27" s="188">
        <f t="shared" si="7"/>
        <v>0</v>
      </c>
      <c r="O27" s="188">
        <f t="shared" si="7"/>
        <v>0</v>
      </c>
    </row>
    <row r="28" spans="1:15" ht="13.5" thickTop="1" thickBot="1">
      <c r="A28" s="862"/>
      <c r="B28" s="182" t="s">
        <v>48</v>
      </c>
      <c r="C28" s="182" t="s">
        <v>49</v>
      </c>
      <c r="D28" s="183" t="e">
        <f t="shared" si="4"/>
        <v>#REF!</v>
      </c>
      <c r="E28" s="183">
        <f t="shared" si="6"/>
        <v>0</v>
      </c>
      <c r="F28" s="183" t="e">
        <f t="shared" si="6"/>
        <v>#REF!</v>
      </c>
      <c r="G28" s="183" t="e">
        <f t="shared" si="6"/>
        <v>#REF!</v>
      </c>
      <c r="H28" s="183" t="e">
        <f t="shared" si="6"/>
        <v>#REF!</v>
      </c>
      <c r="I28" s="183">
        <f t="shared" si="6"/>
        <v>0</v>
      </c>
      <c r="J28" s="183" t="e">
        <f t="shared" si="5"/>
        <v>#REF!</v>
      </c>
      <c r="K28" s="183">
        <f t="shared" si="7"/>
        <v>0</v>
      </c>
      <c r="L28" s="183" t="e">
        <f t="shared" si="7"/>
        <v>#REF!</v>
      </c>
      <c r="M28" s="183" t="e">
        <f t="shared" si="7"/>
        <v>#REF!</v>
      </c>
      <c r="N28" s="183" t="e">
        <f t="shared" si="7"/>
        <v>#REF!</v>
      </c>
      <c r="O28" s="183">
        <f t="shared" si="7"/>
        <v>0</v>
      </c>
    </row>
    <row r="29" spans="1:15" ht="13.5" thickTop="1" thickBot="1">
      <c r="A29" s="862"/>
      <c r="B29" s="182" t="s">
        <v>50</v>
      </c>
      <c r="C29" s="182" t="s">
        <v>25</v>
      </c>
      <c r="D29" s="183" t="e">
        <f t="shared" si="4"/>
        <v>#REF!</v>
      </c>
      <c r="E29" s="183">
        <f>E14</f>
        <v>0</v>
      </c>
      <c r="F29" s="183">
        <f>F14</f>
        <v>0</v>
      </c>
      <c r="G29" s="183" t="e">
        <f>G14</f>
        <v>#REF!</v>
      </c>
      <c r="H29" s="183">
        <f>H14</f>
        <v>0</v>
      </c>
      <c r="I29" s="183">
        <f>I14</f>
        <v>0</v>
      </c>
      <c r="J29" s="183" t="e">
        <f t="shared" si="5"/>
        <v>#REF!</v>
      </c>
      <c r="K29" s="183">
        <f>K14</f>
        <v>0</v>
      </c>
      <c r="L29" s="183">
        <f>L14</f>
        <v>0</v>
      </c>
      <c r="M29" s="183" t="e">
        <f>M14</f>
        <v>#REF!</v>
      </c>
      <c r="N29" s="183">
        <f>N14</f>
        <v>0</v>
      </c>
      <c r="O29" s="183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180" t="e">
        <f>SUM(F30:I30)</f>
        <v>#REF!</v>
      </c>
      <c r="E30" s="180"/>
      <c r="F30" s="180">
        <f>SUM(F31:F33)</f>
        <v>0</v>
      </c>
      <c r="G30" s="180" t="e">
        <f>SUM(G31:G33)</f>
        <v>#REF!</v>
      </c>
      <c r="H30" s="180" t="e">
        <f>SUM(H31:H33)</f>
        <v>#REF!</v>
      </c>
      <c r="I30" s="180" t="e">
        <f>SUM(I31:I33)</f>
        <v>#REF!</v>
      </c>
      <c r="J30" s="180" t="e">
        <f>SUM(L30:O30)</f>
        <v>#REF!</v>
      </c>
      <c r="K30" s="180"/>
      <c r="L30" s="180">
        <f>SUM(L31:L33)</f>
        <v>0</v>
      </c>
      <c r="M30" s="180" t="e">
        <f>SUM(M31:M33)</f>
        <v>#REF!</v>
      </c>
      <c r="N30" s="180" t="e">
        <f>SUM(N31:N33)</f>
        <v>#REF!</v>
      </c>
      <c r="O30" s="180" t="e">
        <f>SUM(O31:O33)</f>
        <v>#REF!</v>
      </c>
    </row>
    <row r="31" spans="1:15" ht="13.5" thickTop="1" thickBot="1">
      <c r="A31" s="862"/>
      <c r="B31" s="182" t="s">
        <v>54</v>
      </c>
      <c r="C31" s="182" t="s">
        <v>55</v>
      </c>
      <c r="D31" s="183" t="e">
        <f t="shared" ref="D31:D43" si="8">SUM(E31:I31)</f>
        <v>#REF!</v>
      </c>
      <c r="E31" s="195"/>
      <c r="F31" s="235"/>
      <c r="G31" s="184" t="e">
        <f>'3 квартал'!G31+#REF!</f>
        <v>#REF!</v>
      </c>
      <c r="H31" s="184" t="e">
        <f>'3 квартал'!H31+#REF!</f>
        <v>#REF!</v>
      </c>
      <c r="I31" s="195"/>
      <c r="J31" s="183" t="e">
        <f t="shared" ref="J31:J43" si="9">SUM(K31:O31)</f>
        <v>#REF!</v>
      </c>
      <c r="K31" s="195"/>
      <c r="L31" s="196"/>
      <c r="M31" s="183" t="e">
        <f>L36</f>
        <v>#REF!</v>
      </c>
      <c r="N31" s="183" t="e">
        <f>L37</f>
        <v>#REF!</v>
      </c>
      <c r="O31" s="195"/>
    </row>
    <row r="32" spans="1:15" ht="13.5" thickTop="1" thickBot="1">
      <c r="A32" s="862"/>
      <c r="B32" s="182" t="s">
        <v>56</v>
      </c>
      <c r="C32" s="182" t="s">
        <v>57</v>
      </c>
      <c r="D32" s="183" t="e">
        <f t="shared" si="8"/>
        <v>#REF!</v>
      </c>
      <c r="E32" s="195"/>
      <c r="F32" s="195"/>
      <c r="G32" s="195"/>
      <c r="H32" s="184" t="e">
        <f>'3 квартал'!H32+#REF!</f>
        <v>#REF!</v>
      </c>
      <c r="I32" s="235"/>
      <c r="J32" s="183" t="e">
        <f t="shared" si="9"/>
        <v>#REF!</v>
      </c>
      <c r="K32" s="195"/>
      <c r="L32" s="195"/>
      <c r="M32" s="195"/>
      <c r="N32" s="183" t="e">
        <f>M37</f>
        <v>#REF!</v>
      </c>
      <c r="O32" s="196">
        <f>M43</f>
        <v>0</v>
      </c>
    </row>
    <row r="33" spans="1:15" ht="13.5" thickTop="1" thickBot="1">
      <c r="A33" s="862"/>
      <c r="B33" s="182" t="s">
        <v>58</v>
      </c>
      <c r="C33" s="182" t="s">
        <v>59</v>
      </c>
      <c r="D33" s="183" t="e">
        <f t="shared" si="8"/>
        <v>#REF!</v>
      </c>
      <c r="E33" s="195"/>
      <c r="F33" s="195"/>
      <c r="G33" s="195"/>
      <c r="H33" s="195"/>
      <c r="I33" s="184" t="e">
        <f>'3 квартал'!I33+#REF!</f>
        <v>#REF!</v>
      </c>
      <c r="J33" s="183" t="e">
        <f t="shared" si="9"/>
        <v>#REF!</v>
      </c>
      <c r="K33" s="195"/>
      <c r="L33" s="195"/>
      <c r="M33" s="195"/>
      <c r="N33" s="195"/>
      <c r="O33" s="183" t="e">
        <f>M38+N38</f>
        <v>#REF!</v>
      </c>
    </row>
    <row r="34" spans="1:15" ht="13.5" thickTop="1" thickBot="1">
      <c r="A34" s="862"/>
      <c r="B34" s="179" t="s">
        <v>60</v>
      </c>
      <c r="C34" s="179" t="s">
        <v>61</v>
      </c>
      <c r="D34" s="180" t="e">
        <f t="shared" si="8"/>
        <v>#REF!</v>
      </c>
      <c r="E34" s="180"/>
      <c r="F34" s="180" t="e">
        <f>SUM(F35:F38)</f>
        <v>#REF!</v>
      </c>
      <c r="G34" s="180" t="e">
        <f>SUM(G35:G38)</f>
        <v>#REF!</v>
      </c>
      <c r="H34" s="180" t="e">
        <f>SUM(H35:H38)</f>
        <v>#REF!</v>
      </c>
      <c r="I34" s="181">
        <f>SUM(I35:I38)</f>
        <v>0</v>
      </c>
      <c r="J34" s="180" t="e">
        <f t="shared" si="9"/>
        <v>#REF!</v>
      </c>
      <c r="K34" s="180"/>
      <c r="L34" s="180" t="e">
        <f>SUM(L35:L38)</f>
        <v>#REF!</v>
      </c>
      <c r="M34" s="180" t="e">
        <f>SUM(M35:M38)</f>
        <v>#REF!</v>
      </c>
      <c r="N34" s="180" t="e">
        <f>SUM(N35:N38)</f>
        <v>#REF!</v>
      </c>
      <c r="O34" s="181">
        <f>SUM(O35:O38)</f>
        <v>0</v>
      </c>
    </row>
    <row r="35" spans="1:15" ht="13.5" thickTop="1" thickBot="1">
      <c r="A35" s="862"/>
      <c r="B35" s="182" t="s">
        <v>62</v>
      </c>
      <c r="C35" s="182" t="s">
        <v>63</v>
      </c>
      <c r="D35" s="183">
        <f t="shared" si="8"/>
        <v>0</v>
      </c>
      <c r="E35" s="196"/>
      <c r="F35" s="195"/>
      <c r="G35" s="195"/>
      <c r="H35" s="195"/>
      <c r="I35" s="195"/>
      <c r="J35" s="183">
        <f t="shared" si="9"/>
        <v>0</v>
      </c>
      <c r="K35" s="196"/>
      <c r="L35" s="195"/>
      <c r="M35" s="195"/>
      <c r="N35" s="195"/>
      <c r="O35" s="195"/>
    </row>
    <row r="36" spans="1:15" ht="13.5" thickTop="1" thickBot="1">
      <c r="A36" s="862"/>
      <c r="B36" s="182" t="s">
        <v>64</v>
      </c>
      <c r="C36" s="182" t="s">
        <v>65</v>
      </c>
      <c r="D36" s="183" t="e">
        <f t="shared" si="8"/>
        <v>#REF!</v>
      </c>
      <c r="E36" s="183"/>
      <c r="F36" s="185" t="e">
        <f>G31</f>
        <v>#REF!</v>
      </c>
      <c r="G36" s="195"/>
      <c r="H36" s="195"/>
      <c r="I36" s="195"/>
      <c r="J36" s="183" t="e">
        <f t="shared" si="9"/>
        <v>#REF!</v>
      </c>
      <c r="K36" s="183"/>
      <c r="L36" s="184" t="e">
        <f>'3 квартал'!L36+#REF!</f>
        <v>#REF!</v>
      </c>
      <c r="M36" s="195"/>
      <c r="N36" s="195"/>
      <c r="O36" s="195"/>
    </row>
    <row r="37" spans="1:15" ht="13.5" thickTop="1" thickBot="1">
      <c r="A37" s="862"/>
      <c r="B37" s="182" t="s">
        <v>66</v>
      </c>
      <c r="C37" s="182" t="s">
        <v>67</v>
      </c>
      <c r="D37" s="183" t="e">
        <f t="shared" si="8"/>
        <v>#REF!</v>
      </c>
      <c r="E37" s="183"/>
      <c r="F37" s="185" t="e">
        <f>H31</f>
        <v>#REF!</v>
      </c>
      <c r="G37" s="185" t="e">
        <f>H32</f>
        <v>#REF!</v>
      </c>
      <c r="H37" s="195"/>
      <c r="I37" s="195"/>
      <c r="J37" s="183" t="e">
        <f t="shared" si="9"/>
        <v>#REF!</v>
      </c>
      <c r="K37" s="183"/>
      <c r="L37" s="184" t="e">
        <f>'3 квартал'!L37+#REF!</f>
        <v>#REF!</v>
      </c>
      <c r="M37" s="184" t="e">
        <f>'3 квартал'!M37+#REF!</f>
        <v>#REF!</v>
      </c>
      <c r="N37" s="195"/>
      <c r="O37" s="195"/>
    </row>
    <row r="38" spans="1:15" ht="13.5" thickTop="1" thickBot="1">
      <c r="A38" s="862"/>
      <c r="B38" s="182" t="s">
        <v>68</v>
      </c>
      <c r="C38" s="182" t="s">
        <v>69</v>
      </c>
      <c r="D38" s="183" t="e">
        <f t="shared" si="8"/>
        <v>#REF!</v>
      </c>
      <c r="E38" s="195"/>
      <c r="F38" s="195"/>
      <c r="G38" s="196"/>
      <c r="H38" s="185" t="e">
        <f>I33</f>
        <v>#REF!</v>
      </c>
      <c r="I38" s="195"/>
      <c r="J38" s="183" t="e">
        <f t="shared" si="9"/>
        <v>#REF!</v>
      </c>
      <c r="K38" s="195"/>
      <c r="L38" s="195"/>
      <c r="M38" s="196"/>
      <c r="N38" s="184" t="e">
        <f>'3 квартал'!N38+#REF!</f>
        <v>#REF!</v>
      </c>
      <c r="O38" s="195"/>
    </row>
    <row r="39" spans="1:15" s="17" customFormat="1" ht="13.5" thickTop="1" thickBot="1">
      <c r="A39" s="862"/>
      <c r="B39" s="232" t="s">
        <v>70</v>
      </c>
      <c r="C39" s="232" t="s">
        <v>71</v>
      </c>
      <c r="D39" s="192" t="e">
        <f t="shared" si="8"/>
        <v>#REF!</v>
      </c>
      <c r="E39" s="192"/>
      <c r="F39" s="192" t="e">
        <f>SUM(F40:F43)</f>
        <v>#REF!</v>
      </c>
      <c r="G39" s="192" t="e">
        <f>SUM(G40:G43)</f>
        <v>#REF!</v>
      </c>
      <c r="H39" s="192" t="e">
        <f>SUM(H40:H43)</f>
        <v>#REF!</v>
      </c>
      <c r="I39" s="192" t="e">
        <f>SUM(I40:I43)</f>
        <v>#REF!</v>
      </c>
      <c r="J39" s="192" t="e">
        <f t="shared" si="9"/>
        <v>#REF!</v>
      </c>
      <c r="K39" s="192"/>
      <c r="L39" s="192" t="e">
        <f>SUM(L40:L43)</f>
        <v>#REF!</v>
      </c>
      <c r="M39" s="192" t="e">
        <f>SUM(M40:M43)</f>
        <v>#REF!</v>
      </c>
      <c r="N39" s="192" t="e">
        <f>SUM(N40:N43)</f>
        <v>#REF!</v>
      </c>
      <c r="O39" s="192" t="e">
        <f>SUM(O40:O43)</f>
        <v>#REF!</v>
      </c>
    </row>
    <row r="40" spans="1:15" ht="13.5" thickTop="1" thickBot="1">
      <c r="A40" s="862"/>
      <c r="B40" s="182" t="s">
        <v>72</v>
      </c>
      <c r="C40" s="182" t="s">
        <v>5</v>
      </c>
      <c r="D40" s="183" t="e">
        <f t="shared" si="8"/>
        <v>#REF!</v>
      </c>
      <c r="E40" s="196"/>
      <c r="F40" s="196">
        <f>F31-F35</f>
        <v>0</v>
      </c>
      <c r="G40" s="196" t="e">
        <f>G31-G35</f>
        <v>#REF!</v>
      </c>
      <c r="H40" s="196" t="e">
        <f>H31-H35</f>
        <v>#REF!</v>
      </c>
      <c r="I40" s="195"/>
      <c r="J40" s="183" t="e">
        <f t="shared" si="9"/>
        <v>#REF!</v>
      </c>
      <c r="K40" s="196"/>
      <c r="L40" s="196">
        <f>L31-L35</f>
        <v>0</v>
      </c>
      <c r="M40" s="196" t="e">
        <f>M31-M35</f>
        <v>#REF!</v>
      </c>
      <c r="N40" s="196" t="e">
        <f>N31-N35</f>
        <v>#REF!</v>
      </c>
      <c r="O40" s="195"/>
    </row>
    <row r="41" spans="1:15" ht="13.5" thickTop="1" thickBot="1">
      <c r="A41" s="862"/>
      <c r="B41" s="182" t="s">
        <v>73</v>
      </c>
      <c r="C41" s="182" t="s">
        <v>74</v>
      </c>
      <c r="D41" s="183" t="e">
        <f t="shared" si="8"/>
        <v>#REF!</v>
      </c>
      <c r="E41" s="196">
        <f>E32-E36</f>
        <v>0</v>
      </c>
      <c r="F41" s="196" t="e">
        <f>F32-F36</f>
        <v>#REF!</v>
      </c>
      <c r="G41" s="195"/>
      <c r="H41" s="196" t="e">
        <f>H32-H36</f>
        <v>#REF!</v>
      </c>
      <c r="I41" s="195"/>
      <c r="J41" s="183" t="e">
        <f t="shared" si="9"/>
        <v>#REF!</v>
      </c>
      <c r="K41" s="196">
        <f>K32-K36</f>
        <v>0</v>
      </c>
      <c r="L41" s="196" t="e">
        <f>L32-L36</f>
        <v>#REF!</v>
      </c>
      <c r="M41" s="195"/>
      <c r="N41" s="196" t="e">
        <f>N32-N36</f>
        <v>#REF!</v>
      </c>
      <c r="O41" s="195"/>
    </row>
    <row r="42" spans="1:15" ht="13.5" thickTop="1" thickBot="1">
      <c r="A42" s="862"/>
      <c r="B42" s="182" t="s">
        <v>75</v>
      </c>
      <c r="C42" s="182" t="s">
        <v>76</v>
      </c>
      <c r="D42" s="183" t="e">
        <f t="shared" si="8"/>
        <v>#REF!</v>
      </c>
      <c r="E42" s="196">
        <f>E33-E37</f>
        <v>0</v>
      </c>
      <c r="F42" s="196" t="e">
        <f>F33-F37</f>
        <v>#REF!</v>
      </c>
      <c r="G42" s="196" t="e">
        <f>G33-G37</f>
        <v>#REF!</v>
      </c>
      <c r="H42" s="195"/>
      <c r="I42" s="196" t="e">
        <f>I33-I37</f>
        <v>#REF!</v>
      </c>
      <c r="J42" s="183" t="e">
        <f t="shared" si="9"/>
        <v>#REF!</v>
      </c>
      <c r="K42" s="196">
        <f>K33-K37</f>
        <v>0</v>
      </c>
      <c r="L42" s="196" t="e">
        <f>L33-L37</f>
        <v>#REF!</v>
      </c>
      <c r="M42" s="196" t="e">
        <f>M33-M37</f>
        <v>#REF!</v>
      </c>
      <c r="N42" s="195"/>
      <c r="O42" s="196" t="e">
        <f>O33-O37</f>
        <v>#REF!</v>
      </c>
    </row>
    <row r="43" spans="1:15" ht="13.5" thickTop="1" thickBot="1">
      <c r="A43" s="862"/>
      <c r="B43" s="199" t="s">
        <v>77</v>
      </c>
      <c r="C43" s="199" t="s">
        <v>8</v>
      </c>
      <c r="D43" s="196" t="e">
        <f t="shared" si="8"/>
        <v>#REF!</v>
      </c>
      <c r="E43" s="195"/>
      <c r="F43" s="195"/>
      <c r="G43" s="196"/>
      <c r="H43" s="196" t="e">
        <f>-H38</f>
        <v>#REF!</v>
      </c>
      <c r="I43" s="195"/>
      <c r="J43" s="196" t="e">
        <f t="shared" si="9"/>
        <v>#REF!</v>
      </c>
      <c r="K43" s="195"/>
      <c r="L43" s="195"/>
      <c r="M43" s="196"/>
      <c r="N43" s="196" t="e">
        <f>-N38</f>
        <v>#REF!</v>
      </c>
      <c r="O43" s="195"/>
    </row>
    <row r="44" spans="1:15" ht="13.5" thickTop="1" thickBot="1">
      <c r="A44" s="177"/>
      <c r="B44" s="200" t="s">
        <v>78</v>
      </c>
      <c r="C44" s="200" t="s">
        <v>79</v>
      </c>
      <c r="D44" s="201" t="e">
        <f>D22</f>
        <v>#REF!</v>
      </c>
      <c r="E44" s="201" t="e">
        <f>E22+E30</f>
        <v>#REF!</v>
      </c>
      <c r="F44" s="201" t="e">
        <f>F22+F30</f>
        <v>#REF!</v>
      </c>
      <c r="G44" s="201" t="e">
        <f>G22+G30</f>
        <v>#REF!</v>
      </c>
      <c r="H44" s="201" t="e">
        <f>H22+H30</f>
        <v>#REF!</v>
      </c>
      <c r="I44" s="201" t="e">
        <f>I22+I30</f>
        <v>#REF!</v>
      </c>
      <c r="J44" s="201" t="e">
        <f>J22</f>
        <v>#REF!</v>
      </c>
      <c r="K44" s="201" t="e">
        <f>K22+K30</f>
        <v>#REF!</v>
      </c>
      <c r="L44" s="201" t="e">
        <f>L22+L30</f>
        <v>#REF!</v>
      </c>
      <c r="M44" s="201" t="e">
        <f>M22+M30</f>
        <v>#REF!</v>
      </c>
      <c r="N44" s="201" t="e">
        <f>N22+N30</f>
        <v>#REF!</v>
      </c>
      <c r="O44" s="201" t="e">
        <f>O22+O30</f>
        <v>#REF!</v>
      </c>
    </row>
    <row r="45" spans="1:15" ht="13.5" thickTop="1" thickBot="1">
      <c r="A45" s="177"/>
      <c r="B45" s="202" t="s">
        <v>80</v>
      </c>
      <c r="C45" s="202" t="s">
        <v>81</v>
      </c>
      <c r="D45" s="203" t="e">
        <f>D44</f>
        <v>#REF!</v>
      </c>
      <c r="E45" s="203" t="e">
        <f>E143+E151+E34</f>
        <v>#REF!</v>
      </c>
      <c r="F45" s="203" t="e">
        <f>F143+F151+F34-G49-H49-G73-H73-G78-H78-H54-H97-H109-G97-G102-H102-G109-G114-H114-G121-H121-G126-H126-G133-H133</f>
        <v>#REF!</v>
      </c>
      <c r="G45" s="203" t="e">
        <f>G143+G151+G34-H50-I50-H55-I55-H62-I62-H67-I67-H98-H74-H79-H86-H91-H103-H110-H115-H122-H127-H134</f>
        <v>#REF!</v>
      </c>
      <c r="H45" s="203" t="e">
        <f>H143+H151+H34-I51-I56-I63-I68-I75-I80-I87-I92-I99-I104-I111-I116-I123-I128</f>
        <v>#REF!</v>
      </c>
      <c r="I45" s="203" t="e">
        <f>I151+I143</f>
        <v>#REF!</v>
      </c>
      <c r="J45" s="203" t="e">
        <f>J44</f>
        <v>#REF!</v>
      </c>
      <c r="K45" s="203" t="e">
        <f>K143+K151+K34</f>
        <v>#REF!</v>
      </c>
      <c r="L45" s="203" t="e">
        <f>L143+L151+L34-M49-N49-M73-N73-M78-N78-N54-N97-N109-M97-M102-N102-M109-M114-N114-M121-N121-M126-N126-M133-N133</f>
        <v>#REF!</v>
      </c>
      <c r="M45" s="203" t="e">
        <f>M143+M151+M34-N50-O50-N55-O55-N62-O62-N67-O67-N98-N74-N79-N86-N91-N103-N110-N115-N122-N127-N134</f>
        <v>#REF!</v>
      </c>
      <c r="N45" s="203" t="e">
        <f>N143+N151+N34-O51-O56-O63-O68-O75-O80-O87-O92-O99-O104-O111-O116-O123-O128</f>
        <v>#REF!</v>
      </c>
      <c r="O45" s="203" t="e">
        <f>O151+O143</f>
        <v>#REF!</v>
      </c>
    </row>
    <row r="46" spans="1:15" ht="13.5" thickTop="1" thickBot="1">
      <c r="A46" s="862" t="s">
        <v>82</v>
      </c>
      <c r="B46" s="179" t="s">
        <v>83</v>
      </c>
      <c r="C46" s="179" t="s">
        <v>84</v>
      </c>
      <c r="D46" s="181" t="e">
        <f>SUM(E46:I46)</f>
        <v>#REF!</v>
      </c>
      <c r="E46" s="322" t="e">
        <f>E47+E59+E71+E83+E95</f>
        <v>#REF!</v>
      </c>
      <c r="F46" s="322" t="e">
        <f>F47+F59+F71+F83+F95+F107+F119+F131</f>
        <v>#REF!</v>
      </c>
      <c r="G46" s="322" t="e">
        <f>G47+G59+G71+G83+G95+G107+G119+G131</f>
        <v>#REF!</v>
      </c>
      <c r="H46" s="322" t="e">
        <f>H47+H59+H71+H83+H95+H107+H119+H131</f>
        <v>#REF!</v>
      </c>
      <c r="I46" s="322" t="e">
        <f>I47+I59+I71+I83+I95+I107+I119+I131</f>
        <v>#REF!</v>
      </c>
      <c r="J46" s="181" t="e">
        <f>SUM(K46:O46)</f>
        <v>#REF!</v>
      </c>
      <c r="K46" s="322" t="e">
        <f>K47+K59+K71+K83+K95</f>
        <v>#REF!</v>
      </c>
      <c r="L46" s="322" t="e">
        <f>L47+L59+L71+L83+L95+L107+L119+L131</f>
        <v>#REF!</v>
      </c>
      <c r="M46" s="322" t="e">
        <f>M47+M59+M71+M83+M95+M107+M119+M131</f>
        <v>#REF!</v>
      </c>
      <c r="N46" s="322" t="e">
        <f>N47+N59+N71+N83+N95+N107+N119+N131</f>
        <v>#REF!</v>
      </c>
      <c r="O46" s="322" t="e">
        <f>O47+O59+O71+O83+O95+O107+O119+O131</f>
        <v>#REF!</v>
      </c>
    </row>
    <row r="47" spans="1:15" s="3" customFormat="1" ht="13.5" thickTop="1" thickBot="1">
      <c r="A47" s="862"/>
      <c r="B47" s="270" t="s">
        <v>85</v>
      </c>
      <c r="C47" s="271" t="s">
        <v>86</v>
      </c>
      <c r="D47" s="206" t="e">
        <f t="shared" ref="D47:D147" si="10">SUM(E47:I47)</f>
        <v>#REF!</v>
      </c>
      <c r="E47" s="184" t="e">
        <f>'3 квартал'!E47+#REF!</f>
        <v>#REF!</v>
      </c>
      <c r="F47" s="184" t="e">
        <f>'3 квартал'!F47+#REF!</f>
        <v>#REF!</v>
      </c>
      <c r="G47" s="184" t="e">
        <f>'3 квартал'!G47+#REF!</f>
        <v>#REF!</v>
      </c>
      <c r="H47" s="184" t="e">
        <f>'3 квартал'!H47+#REF!</f>
        <v>#REF!</v>
      </c>
      <c r="I47" s="184" t="e">
        <f>'3 квартал'!I47+#REF!</f>
        <v>#REF!</v>
      </c>
      <c r="J47" s="206" t="e">
        <f t="shared" ref="J47:J147" si="11">SUM(K47:O47)</f>
        <v>#REF!</v>
      </c>
      <c r="K47" s="184" t="e">
        <f>'3 квартал'!K47+#REF!</f>
        <v>#REF!</v>
      </c>
      <c r="L47" s="184" t="e">
        <f>'3 квартал'!L47+#REF!</f>
        <v>#REF!</v>
      </c>
      <c r="M47" s="184" t="e">
        <f>'3 квартал'!M47+#REF!</f>
        <v>#REF!</v>
      </c>
      <c r="N47" s="184" t="e">
        <f>'3 квартал'!N47+#REF!</f>
        <v>#REF!</v>
      </c>
      <c r="O47" s="184" t="e">
        <f>'3 квартал'!O47+#REF!</f>
        <v>#REF!</v>
      </c>
    </row>
    <row r="48" spans="1:15" ht="13.5" thickTop="1" thickBot="1">
      <c r="A48" s="862"/>
      <c r="B48" s="263" t="s">
        <v>87</v>
      </c>
      <c r="C48" s="263" t="s">
        <v>88</v>
      </c>
      <c r="D48" s="196">
        <f t="shared" si="10"/>
        <v>0</v>
      </c>
      <c r="E48" s="196"/>
      <c r="F48" s="196"/>
      <c r="G48" s="196"/>
      <c r="H48" s="196"/>
      <c r="I48" s="196"/>
      <c r="J48" s="196">
        <f t="shared" si="11"/>
        <v>0</v>
      </c>
      <c r="K48" s="196"/>
      <c r="L48" s="196"/>
      <c r="M48" s="196"/>
      <c r="N48" s="196"/>
      <c r="O48" s="196"/>
    </row>
    <row r="49" spans="1:15" ht="13.5" thickTop="1" thickBot="1">
      <c r="A49" s="862"/>
      <c r="B49" s="275"/>
      <c r="C49" s="276" t="s">
        <v>89</v>
      </c>
      <c r="D49" s="209" t="e">
        <f t="shared" si="10"/>
        <v>#REF!</v>
      </c>
      <c r="E49" s="210"/>
      <c r="F49" s="210"/>
      <c r="G49" s="240"/>
      <c r="H49" s="184" t="e">
        <f>'3 квартал'!H49+#REF!</f>
        <v>#REF!</v>
      </c>
      <c r="I49" s="210"/>
      <c r="J49" s="209" t="e">
        <f t="shared" si="11"/>
        <v>#REF!</v>
      </c>
      <c r="K49" s="210"/>
      <c r="L49" s="210"/>
      <c r="M49" s="240"/>
      <c r="N49" s="184" t="e">
        <f>'3 квартал'!N49+#REF!</f>
        <v>#REF!</v>
      </c>
      <c r="O49" s="210"/>
    </row>
    <row r="50" spans="1:15" ht="13.5" thickTop="1" thickBot="1">
      <c r="A50" s="862"/>
      <c r="B50" s="275"/>
      <c r="C50" s="276" t="s">
        <v>90</v>
      </c>
      <c r="D50" s="209" t="e">
        <f t="shared" si="10"/>
        <v>#REF!</v>
      </c>
      <c r="E50" s="210"/>
      <c r="F50" s="210"/>
      <c r="G50" s="210"/>
      <c r="H50" s="184" t="e">
        <f>'3 квартал'!H50+#REF!</f>
        <v>#REF!</v>
      </c>
      <c r="I50" s="235"/>
      <c r="J50" s="209" t="e">
        <f t="shared" si="11"/>
        <v>#REF!</v>
      </c>
      <c r="K50" s="210"/>
      <c r="L50" s="210"/>
      <c r="M50" s="210"/>
      <c r="N50" s="184" t="e">
        <f>'3 квартал'!N50+#REF!</f>
        <v>#REF!</v>
      </c>
      <c r="O50" s="235"/>
    </row>
    <row r="51" spans="1:15" ht="13.5" thickTop="1" thickBot="1">
      <c r="A51" s="862"/>
      <c r="B51" s="275"/>
      <c r="C51" s="276" t="s">
        <v>91</v>
      </c>
      <c r="D51" s="209">
        <f t="shared" si="10"/>
        <v>0</v>
      </c>
      <c r="E51" s="210"/>
      <c r="F51" s="210"/>
      <c r="G51" s="210"/>
      <c r="H51" s="210"/>
      <c r="I51" s="240"/>
      <c r="J51" s="209">
        <f t="shared" si="11"/>
        <v>0</v>
      </c>
      <c r="K51" s="210"/>
      <c r="L51" s="210"/>
      <c r="M51" s="210"/>
      <c r="N51" s="210"/>
      <c r="O51" s="240"/>
    </row>
    <row r="52" spans="1:15" ht="13.5" thickTop="1" thickBot="1">
      <c r="A52" s="862"/>
      <c r="B52" s="263" t="s">
        <v>92</v>
      </c>
      <c r="C52" s="263" t="s">
        <v>93</v>
      </c>
      <c r="D52" s="196" t="e">
        <f t="shared" si="10"/>
        <v>#REF!</v>
      </c>
      <c r="E52" s="196"/>
      <c r="F52" s="184" t="e">
        <f>'3 квартал'!F52+#REF!</f>
        <v>#REF!</v>
      </c>
      <c r="G52" s="184" t="e">
        <f>'3 квартал'!G52+#REF!</f>
        <v>#REF!</v>
      </c>
      <c r="H52" s="184" t="e">
        <f>'3 квартал'!H52+#REF!</f>
        <v>#REF!</v>
      </c>
      <c r="I52" s="184" t="e">
        <f>'3 квартал'!I52+#REF!</f>
        <v>#REF!</v>
      </c>
      <c r="J52" s="184" t="e">
        <f>#REF!+#REF!+#REF!</f>
        <v>#REF!</v>
      </c>
      <c r="K52" s="196"/>
      <c r="L52" s="184" t="e">
        <f>'3 квартал'!L52+#REF!</f>
        <v>#REF!</v>
      </c>
      <c r="M52" s="184" t="e">
        <f>'3 квартал'!M52+#REF!</f>
        <v>#REF!</v>
      </c>
      <c r="N52" s="184" t="e">
        <f>'3 квартал'!N52+#REF!</f>
        <v>#REF!</v>
      </c>
      <c r="O52" s="184" t="e">
        <f>'3 квартал'!O52+#REF!</f>
        <v>#REF!</v>
      </c>
    </row>
    <row r="53" spans="1:15" ht="13.5" thickTop="1" thickBot="1">
      <c r="A53" s="862"/>
      <c r="B53" s="263" t="s">
        <v>94</v>
      </c>
      <c r="C53" s="263" t="s">
        <v>95</v>
      </c>
      <c r="D53" s="213" t="e">
        <f t="shared" si="10"/>
        <v>#REF!</v>
      </c>
      <c r="E53" s="240"/>
      <c r="F53" s="212"/>
      <c r="G53" s="184" t="e">
        <f>'3 квартал'!G53+#REF!</f>
        <v>#REF!</v>
      </c>
      <c r="H53" s="184" t="e">
        <f>'3 квартал'!H53+#REF!</f>
        <v>#REF!</v>
      </c>
      <c r="I53" s="196"/>
      <c r="J53" s="213" t="e">
        <f t="shared" si="11"/>
        <v>#REF!</v>
      </c>
      <c r="K53" s="240"/>
      <c r="L53" s="212"/>
      <c r="M53" s="184" t="e">
        <f>'3 квартал'!M53+#REF!</f>
        <v>#REF!</v>
      </c>
      <c r="N53" s="184" t="e">
        <f>'3 квартал'!N53+#REF!</f>
        <v>#REF!</v>
      </c>
      <c r="O53" s="184" t="e">
        <f>'3 квартал'!O53+#REF!</f>
        <v>#REF!</v>
      </c>
    </row>
    <row r="54" spans="1:15" ht="13.5" thickTop="1" thickBot="1">
      <c r="A54" s="862"/>
      <c r="B54" s="275"/>
      <c r="C54" s="276" t="s">
        <v>89</v>
      </c>
      <c r="D54" s="209" t="e">
        <f t="shared" si="10"/>
        <v>#REF!</v>
      </c>
      <c r="E54" s="210"/>
      <c r="F54" s="210"/>
      <c r="G54" s="240"/>
      <c r="H54" s="184" t="e">
        <f>'3 квартал'!H54+#REF!</f>
        <v>#REF!</v>
      </c>
      <c r="I54" s="210"/>
      <c r="J54" s="209" t="e">
        <f t="shared" si="11"/>
        <v>#REF!</v>
      </c>
      <c r="K54" s="210"/>
      <c r="L54" s="210"/>
      <c r="M54" s="240"/>
      <c r="N54" s="184" t="e">
        <f>'3 квартал'!N54+#REF!</f>
        <v>#REF!</v>
      </c>
      <c r="O54" s="210"/>
    </row>
    <row r="55" spans="1:15" ht="13.5" thickTop="1" thickBot="1">
      <c r="A55" s="862"/>
      <c r="B55" s="275"/>
      <c r="C55" s="276" t="s">
        <v>90</v>
      </c>
      <c r="D55" s="209">
        <f t="shared" si="10"/>
        <v>0</v>
      </c>
      <c r="E55" s="210"/>
      <c r="F55" s="210"/>
      <c r="G55" s="210"/>
      <c r="H55" s="212"/>
      <c r="I55" s="212"/>
      <c r="J55" s="209">
        <f t="shared" si="11"/>
        <v>0</v>
      </c>
      <c r="K55" s="210"/>
      <c r="L55" s="210"/>
      <c r="M55" s="210"/>
      <c r="N55" s="235"/>
      <c r="O55" s="235"/>
    </row>
    <row r="56" spans="1:15" ht="13.5" thickTop="1" thickBot="1">
      <c r="A56" s="862"/>
      <c r="B56" s="275"/>
      <c r="C56" s="276" t="s">
        <v>91</v>
      </c>
      <c r="D56" s="209">
        <f t="shared" si="10"/>
        <v>0</v>
      </c>
      <c r="E56" s="210"/>
      <c r="F56" s="210"/>
      <c r="G56" s="210"/>
      <c r="H56" s="210"/>
      <c r="I56" s="212"/>
      <c r="J56" s="209">
        <f t="shared" si="11"/>
        <v>0</v>
      </c>
      <c r="K56" s="210"/>
      <c r="L56" s="210"/>
      <c r="M56" s="210"/>
      <c r="N56" s="210"/>
      <c r="O56" s="235"/>
    </row>
    <row r="57" spans="1:15" ht="13.5" thickTop="1" thickBot="1">
      <c r="A57" s="862"/>
      <c r="B57" s="263" t="s">
        <v>96</v>
      </c>
      <c r="C57" s="263" t="s">
        <v>97</v>
      </c>
      <c r="D57" s="196" t="e">
        <f t="shared" si="10"/>
        <v>#REF!</v>
      </c>
      <c r="E57" s="196"/>
      <c r="F57" s="196"/>
      <c r="G57" s="196"/>
      <c r="H57" s="184" t="e">
        <f>'3 квартал'!H57+#REF!</f>
        <v>#REF!</v>
      </c>
      <c r="I57" s="196"/>
      <c r="J57" s="196" t="e">
        <f t="shared" si="11"/>
        <v>#REF!</v>
      </c>
      <c r="K57" s="196"/>
      <c r="L57" s="196"/>
      <c r="M57" s="196"/>
      <c r="N57" s="184" t="e">
        <f>'3 квартал'!N57+#REF!</f>
        <v>#REF!</v>
      </c>
      <c r="O57" s="196"/>
    </row>
    <row r="58" spans="1:15" ht="13.5" thickTop="1" thickBot="1">
      <c r="A58" s="862"/>
      <c r="B58" s="263" t="s">
        <v>98</v>
      </c>
      <c r="C58" s="263" t="s">
        <v>99</v>
      </c>
      <c r="D58" s="196">
        <f t="shared" si="10"/>
        <v>0</v>
      </c>
      <c r="E58" s="196"/>
      <c r="F58" s="196"/>
      <c r="G58" s="196"/>
      <c r="H58" s="184"/>
      <c r="I58" s="196"/>
      <c r="J58" s="196">
        <f t="shared" si="11"/>
        <v>0</v>
      </c>
      <c r="K58" s="196"/>
      <c r="L58" s="196"/>
      <c r="M58" s="196"/>
      <c r="N58" s="184"/>
      <c r="O58" s="196"/>
    </row>
    <row r="59" spans="1:15" ht="13.5" thickTop="1" thickBot="1">
      <c r="A59" s="862"/>
      <c r="B59" s="204" t="s">
        <v>171</v>
      </c>
      <c r="C59" s="205" t="s">
        <v>190</v>
      </c>
      <c r="D59" s="206" t="e">
        <f t="shared" si="10"/>
        <v>#REF!</v>
      </c>
      <c r="E59" s="184" t="e">
        <f>'3 квартал'!E59+#REF!</f>
        <v>#REF!</v>
      </c>
      <c r="F59" s="184" t="e">
        <f>'3 квартал'!F59+#REF!</f>
        <v>#REF!</v>
      </c>
      <c r="G59" s="477"/>
      <c r="H59" s="184" t="e">
        <f>'3 квартал'!H59+#REF!</f>
        <v>#REF!</v>
      </c>
      <c r="I59" s="184" t="e">
        <f>'3 квартал'!I59+#REF!</f>
        <v>#REF!</v>
      </c>
      <c r="J59" s="206" t="e">
        <f t="shared" si="11"/>
        <v>#REF!</v>
      </c>
      <c r="K59" s="184" t="e">
        <f>'3 квартал'!K59+#REF!</f>
        <v>#REF!</v>
      </c>
      <c r="L59" s="184" t="e">
        <f>'3 квартал'!L59+#REF!</f>
        <v>#REF!</v>
      </c>
      <c r="M59" s="214">
        <v>0</v>
      </c>
      <c r="N59" s="184" t="e">
        <f>'3 квартал'!N59+#REF!</f>
        <v>#REF!</v>
      </c>
      <c r="O59" s="184" t="e">
        <f>'3 квартал'!O59+#REF!</f>
        <v>#REF!</v>
      </c>
    </row>
    <row r="60" spans="1:15" ht="13.5" thickTop="1" thickBot="1">
      <c r="A60" s="862"/>
      <c r="B60" s="182" t="s">
        <v>172</v>
      </c>
      <c r="C60" s="182" t="s">
        <v>88</v>
      </c>
      <c r="D60" s="196">
        <f t="shared" si="10"/>
        <v>0</v>
      </c>
      <c r="E60" s="196"/>
      <c r="F60" s="196"/>
      <c r="G60" s="196"/>
      <c r="H60" s="196"/>
      <c r="I60" s="196"/>
      <c r="J60" s="196">
        <f t="shared" si="11"/>
        <v>0</v>
      </c>
      <c r="K60" s="196"/>
      <c r="L60" s="196"/>
      <c r="M60" s="196">
        <f>SUM(M61:M63)</f>
        <v>0</v>
      </c>
      <c r="N60" s="196">
        <f>SUM(N61:N63)</f>
        <v>0</v>
      </c>
      <c r="O60" s="196">
        <f>SUM(O61:O63)</f>
        <v>0</v>
      </c>
    </row>
    <row r="61" spans="1:15" ht="13.5" thickTop="1" thickBot="1">
      <c r="A61" s="862"/>
      <c r="B61" s="207"/>
      <c r="C61" s="208" t="s">
        <v>89</v>
      </c>
      <c r="D61" s="209">
        <f t="shared" si="10"/>
        <v>0</v>
      </c>
      <c r="E61" s="210"/>
      <c r="F61" s="210"/>
      <c r="G61" s="209"/>
      <c r="H61" s="209"/>
      <c r="I61" s="210"/>
      <c r="J61" s="209">
        <f t="shared" si="11"/>
        <v>0</v>
      </c>
      <c r="K61" s="210"/>
      <c r="L61" s="210"/>
      <c r="M61" s="209"/>
      <c r="N61" s="209"/>
      <c r="O61" s="210"/>
    </row>
    <row r="62" spans="1:15" ht="13.5" thickTop="1" thickBot="1">
      <c r="A62" s="862"/>
      <c r="B62" s="207"/>
      <c r="C62" s="208" t="s">
        <v>90</v>
      </c>
      <c r="D62" s="209">
        <f t="shared" si="10"/>
        <v>0</v>
      </c>
      <c r="E62" s="210"/>
      <c r="F62" s="210"/>
      <c r="G62" s="210"/>
      <c r="H62" s="209"/>
      <c r="I62" s="209"/>
      <c r="J62" s="209">
        <f t="shared" si="11"/>
        <v>0</v>
      </c>
      <c r="K62" s="210"/>
      <c r="L62" s="210"/>
      <c r="M62" s="210"/>
      <c r="N62" s="209"/>
      <c r="O62" s="209"/>
    </row>
    <row r="63" spans="1:15" ht="13.5" thickTop="1" thickBot="1">
      <c r="A63" s="862"/>
      <c r="B63" s="207"/>
      <c r="C63" s="208" t="s">
        <v>91</v>
      </c>
      <c r="D63" s="209">
        <f t="shared" si="10"/>
        <v>0</v>
      </c>
      <c r="E63" s="210"/>
      <c r="F63" s="210"/>
      <c r="G63" s="210"/>
      <c r="H63" s="210"/>
      <c r="I63" s="209"/>
      <c r="J63" s="209">
        <f t="shared" si="11"/>
        <v>0</v>
      </c>
      <c r="K63" s="210"/>
      <c r="L63" s="210"/>
      <c r="M63" s="210"/>
      <c r="N63" s="210"/>
      <c r="O63" s="209"/>
    </row>
    <row r="64" spans="1:15" ht="13.5" thickTop="1" thickBot="1">
      <c r="A64" s="862"/>
      <c r="B64" s="182" t="s">
        <v>173</v>
      </c>
      <c r="C64" s="182" t="s">
        <v>93</v>
      </c>
      <c r="D64" s="196" t="e">
        <f t="shared" si="10"/>
        <v>#REF!</v>
      </c>
      <c r="E64" s="184" t="e">
        <f>'3 квартал'!E64+#REF!</f>
        <v>#REF!</v>
      </c>
      <c r="F64" s="184" t="e">
        <f>'3 квартал'!F64+#REF!</f>
        <v>#REF!</v>
      </c>
      <c r="G64" s="211"/>
      <c r="H64" s="211"/>
      <c r="I64" s="196"/>
      <c r="J64" s="196" t="e">
        <f t="shared" si="11"/>
        <v>#REF!</v>
      </c>
      <c r="K64" s="184" t="e">
        <f>'3 квартал'!K64+#REF!</f>
        <v>#REF!</v>
      </c>
      <c r="L64" s="184" t="e">
        <f>'3 квартал'!L64+#REF!</f>
        <v>#REF!</v>
      </c>
      <c r="M64" s="211"/>
      <c r="N64" s="211"/>
      <c r="O64" s="196"/>
    </row>
    <row r="65" spans="1:15" ht="13.5" thickTop="1" thickBot="1">
      <c r="A65" s="862"/>
      <c r="B65" s="182" t="s">
        <v>174</v>
      </c>
      <c r="C65" s="182" t="s">
        <v>95</v>
      </c>
      <c r="D65" s="213" t="e">
        <f t="shared" si="10"/>
        <v>#REF!</v>
      </c>
      <c r="E65" s="184" t="e">
        <f>'3 квартал'!E65+#REF!</f>
        <v>#REF!</v>
      </c>
      <c r="F65" s="209"/>
      <c r="G65" s="209"/>
      <c r="H65" s="209"/>
      <c r="I65" s="196"/>
      <c r="J65" s="213" t="e">
        <f t="shared" si="11"/>
        <v>#REF!</v>
      </c>
      <c r="K65" s="184" t="e">
        <f>'3 квартал'!K65+#REF!</f>
        <v>#REF!</v>
      </c>
      <c r="L65" s="184" t="e">
        <f>'3 квартал'!L65+#REF!</f>
        <v>#REF!</v>
      </c>
      <c r="M65" s="209"/>
      <c r="N65" s="209"/>
      <c r="O65" s="196"/>
    </row>
    <row r="66" spans="1:15" ht="13.5" thickTop="1" thickBot="1">
      <c r="A66" s="862"/>
      <c r="B66" s="207"/>
      <c r="C66" s="208" t="s">
        <v>89</v>
      </c>
      <c r="D66" s="209">
        <f t="shared" si="10"/>
        <v>0</v>
      </c>
      <c r="E66" s="210"/>
      <c r="F66" s="210"/>
      <c r="G66" s="209"/>
      <c r="H66" s="209"/>
      <c r="I66" s="210"/>
      <c r="J66" s="209">
        <f t="shared" si="11"/>
        <v>0</v>
      </c>
      <c r="K66" s="210"/>
      <c r="L66" s="210"/>
      <c r="M66" s="209"/>
      <c r="N66" s="209"/>
      <c r="O66" s="210"/>
    </row>
    <row r="67" spans="1:15" ht="13.5" thickTop="1" thickBot="1">
      <c r="A67" s="862"/>
      <c r="B67" s="207"/>
      <c r="C67" s="208" t="s">
        <v>90</v>
      </c>
      <c r="D67" s="209">
        <f t="shared" si="10"/>
        <v>0</v>
      </c>
      <c r="E67" s="210"/>
      <c r="F67" s="210"/>
      <c r="G67" s="210"/>
      <c r="H67" s="209"/>
      <c r="I67" s="209"/>
      <c r="J67" s="209">
        <f t="shared" si="11"/>
        <v>0</v>
      </c>
      <c r="K67" s="210"/>
      <c r="L67" s="210"/>
      <c r="M67" s="210"/>
      <c r="N67" s="209"/>
      <c r="O67" s="209"/>
    </row>
    <row r="68" spans="1:15" ht="13.5" thickTop="1" thickBot="1">
      <c r="A68" s="862"/>
      <c r="B68" s="207"/>
      <c r="C68" s="208" t="s">
        <v>91</v>
      </c>
      <c r="D68" s="209">
        <f t="shared" si="10"/>
        <v>0</v>
      </c>
      <c r="E68" s="210"/>
      <c r="F68" s="210"/>
      <c r="G68" s="210"/>
      <c r="H68" s="210"/>
      <c r="I68" s="209"/>
      <c r="J68" s="209">
        <f t="shared" si="11"/>
        <v>0</v>
      </c>
      <c r="K68" s="210"/>
      <c r="L68" s="210"/>
      <c r="M68" s="210"/>
      <c r="N68" s="210"/>
      <c r="O68" s="209"/>
    </row>
    <row r="69" spans="1:15" ht="13.5" thickTop="1" thickBot="1">
      <c r="A69" s="862"/>
      <c r="B69" s="182" t="s">
        <v>176</v>
      </c>
      <c r="C69" s="182" t="s">
        <v>97</v>
      </c>
      <c r="D69" s="196">
        <f t="shared" si="10"/>
        <v>0</v>
      </c>
      <c r="E69" s="196"/>
      <c r="F69" s="196"/>
      <c r="G69" s="196"/>
      <c r="H69" s="185"/>
      <c r="I69" s="196"/>
      <c r="J69" s="196">
        <f t="shared" si="11"/>
        <v>0</v>
      </c>
      <c r="K69" s="196"/>
      <c r="L69" s="196"/>
      <c r="M69" s="196"/>
      <c r="N69" s="185"/>
      <c r="O69" s="196"/>
    </row>
    <row r="70" spans="1:15" ht="13.5" thickTop="1" thickBot="1">
      <c r="A70" s="862"/>
      <c r="B70" s="182" t="s">
        <v>175</v>
      </c>
      <c r="C70" s="182" t="s">
        <v>99</v>
      </c>
      <c r="D70" s="196">
        <f t="shared" si="10"/>
        <v>0</v>
      </c>
      <c r="E70" s="196"/>
      <c r="F70" s="196"/>
      <c r="G70" s="196"/>
      <c r="H70" s="185"/>
      <c r="I70" s="196"/>
      <c r="J70" s="196">
        <f t="shared" si="11"/>
        <v>0</v>
      </c>
      <c r="K70" s="196"/>
      <c r="L70" s="196"/>
      <c r="M70" s="196"/>
      <c r="N70" s="185"/>
      <c r="O70" s="196"/>
    </row>
    <row r="71" spans="1:15" ht="13.5" thickTop="1" thickBot="1">
      <c r="A71" s="862"/>
      <c r="B71" s="204" t="s">
        <v>177</v>
      </c>
      <c r="C71" s="205" t="s">
        <v>203</v>
      </c>
      <c r="D71" s="206" t="e">
        <f t="shared" si="10"/>
        <v>#REF!</v>
      </c>
      <c r="E71" s="284"/>
      <c r="F71" s="284"/>
      <c r="G71" s="184" t="e">
        <f>'3 квартал'!G71+#REF!</f>
        <v>#REF!</v>
      </c>
      <c r="H71" s="184" t="e">
        <f>'3 квартал'!H71+#REF!</f>
        <v>#REF!</v>
      </c>
      <c r="I71" s="214"/>
      <c r="J71" s="206" t="e">
        <f t="shared" si="11"/>
        <v>#REF!</v>
      </c>
      <c r="K71" s="339"/>
      <c r="L71" s="339"/>
      <c r="M71" s="184" t="e">
        <f>'3 квартал'!M71+#REF!</f>
        <v>#REF!</v>
      </c>
      <c r="N71" s="184" t="e">
        <f>'3 квартал'!N71+#REF!</f>
        <v>#REF!</v>
      </c>
      <c r="O71" s="214">
        <v>0</v>
      </c>
    </row>
    <row r="72" spans="1:15" ht="13.5" thickTop="1" thickBot="1">
      <c r="A72" s="862"/>
      <c r="B72" s="182" t="s">
        <v>178</v>
      </c>
      <c r="C72" s="182" t="s">
        <v>88</v>
      </c>
      <c r="D72" s="196">
        <f t="shared" si="10"/>
        <v>0</v>
      </c>
      <c r="E72" s="196"/>
      <c r="F72" s="196"/>
      <c r="G72" s="196"/>
      <c r="H72" s="196"/>
      <c r="I72" s="196"/>
      <c r="J72" s="196">
        <f t="shared" si="11"/>
        <v>0</v>
      </c>
      <c r="K72" s="196"/>
      <c r="L72" s="196"/>
      <c r="M72" s="196"/>
      <c r="N72" s="196"/>
      <c r="O72" s="196"/>
    </row>
    <row r="73" spans="1:15" ht="13.5" thickTop="1" thickBot="1">
      <c r="A73" s="862"/>
      <c r="B73" s="207"/>
      <c r="C73" s="208" t="s">
        <v>89</v>
      </c>
      <c r="D73" s="209" t="e">
        <f t="shared" si="10"/>
        <v>#REF!</v>
      </c>
      <c r="E73" s="210"/>
      <c r="F73" s="210"/>
      <c r="G73" s="184" t="e">
        <f>'3 квартал'!G73+#REF!</f>
        <v>#REF!</v>
      </c>
      <c r="H73" s="184" t="e">
        <f>'3 квартал'!H73+#REF!</f>
        <v>#REF!</v>
      </c>
      <c r="I73" s="210"/>
      <c r="J73" s="734" t="e">
        <f t="shared" si="11"/>
        <v>#REF!</v>
      </c>
      <c r="K73" s="739"/>
      <c r="L73" s="739"/>
      <c r="M73" s="740" t="e">
        <f>'3 квартал'!M73+#REF!</f>
        <v>#REF!</v>
      </c>
      <c r="N73" s="740" t="e">
        <f>'3 квартал'!N73+#REF!</f>
        <v>#REF!</v>
      </c>
      <c r="O73" s="210"/>
    </row>
    <row r="74" spans="1:15" ht="13.5" thickTop="1" thickBot="1">
      <c r="A74" s="862"/>
      <c r="B74" s="207"/>
      <c r="C74" s="208" t="s">
        <v>90</v>
      </c>
      <c r="D74" s="209">
        <f t="shared" si="10"/>
        <v>0</v>
      </c>
      <c r="E74" s="210"/>
      <c r="F74" s="210"/>
      <c r="G74" s="210"/>
      <c r="H74" s="209"/>
      <c r="I74" s="209"/>
      <c r="J74" s="209">
        <f t="shared" si="11"/>
        <v>0</v>
      </c>
      <c r="K74" s="210"/>
      <c r="L74" s="210"/>
      <c r="M74" s="210"/>
      <c r="N74" s="209"/>
      <c r="O74" s="209"/>
    </row>
    <row r="75" spans="1:15" ht="13.5" thickTop="1" thickBot="1">
      <c r="A75" s="862"/>
      <c r="B75" s="207"/>
      <c r="C75" s="208" t="s">
        <v>91</v>
      </c>
      <c r="D75" s="209">
        <f t="shared" si="10"/>
        <v>0</v>
      </c>
      <c r="E75" s="210"/>
      <c r="F75" s="210"/>
      <c r="G75" s="210"/>
      <c r="H75" s="210"/>
      <c r="I75" s="209"/>
      <c r="J75" s="209">
        <f t="shared" si="11"/>
        <v>0</v>
      </c>
      <c r="K75" s="210"/>
      <c r="L75" s="210"/>
      <c r="M75" s="210"/>
      <c r="N75" s="210"/>
      <c r="O75" s="209"/>
    </row>
    <row r="76" spans="1:15" ht="13.5" thickTop="1" thickBot="1">
      <c r="A76" s="862"/>
      <c r="B76" s="182" t="s">
        <v>179</v>
      </c>
      <c r="C76" s="182" t="s">
        <v>93</v>
      </c>
      <c r="D76" s="196">
        <f t="shared" si="10"/>
        <v>0</v>
      </c>
      <c r="E76" s="196"/>
      <c r="F76" s="196"/>
      <c r="G76" s="211"/>
      <c r="H76" s="211"/>
      <c r="I76" s="196"/>
      <c r="J76" s="196">
        <f t="shared" si="11"/>
        <v>0</v>
      </c>
      <c r="K76" s="196"/>
      <c r="L76" s="196"/>
      <c r="M76" s="211"/>
      <c r="N76" s="211"/>
      <c r="O76" s="196"/>
    </row>
    <row r="77" spans="1:15" ht="13.5" thickTop="1" thickBot="1">
      <c r="A77" s="862"/>
      <c r="B77" s="182" t="s">
        <v>180</v>
      </c>
      <c r="C77" s="182" t="s">
        <v>95</v>
      </c>
      <c r="D77" s="213">
        <f t="shared" si="10"/>
        <v>0</v>
      </c>
      <c r="E77" s="215"/>
      <c r="F77" s="209"/>
      <c r="G77" s="184"/>
      <c r="H77" s="184"/>
      <c r="I77" s="196"/>
      <c r="J77" s="213">
        <f t="shared" si="11"/>
        <v>0</v>
      </c>
      <c r="K77" s="319"/>
      <c r="L77" s="320"/>
      <c r="M77" s="184"/>
      <c r="N77" s="184"/>
      <c r="O77" s="196"/>
    </row>
    <row r="78" spans="1:15" ht="13.5" thickTop="1" thickBot="1">
      <c r="A78" s="862"/>
      <c r="B78" s="207"/>
      <c r="C78" s="208" t="s">
        <v>89</v>
      </c>
      <c r="D78" s="209" t="e">
        <f t="shared" si="10"/>
        <v>#REF!</v>
      </c>
      <c r="E78" s="210"/>
      <c r="F78" s="210"/>
      <c r="G78" s="184" t="e">
        <f>'3 квартал'!G78+#REF!</f>
        <v>#REF!</v>
      </c>
      <c r="H78" s="184" t="e">
        <f>'3 квартал'!H78+#REF!</f>
        <v>#REF!</v>
      </c>
      <c r="I78" s="210"/>
      <c r="J78" s="209" t="e">
        <f t="shared" si="11"/>
        <v>#REF!</v>
      </c>
      <c r="K78" s="210"/>
      <c r="L78" s="210"/>
      <c r="M78" s="184" t="e">
        <f>'3 квартал'!M78+#REF!</f>
        <v>#REF!</v>
      </c>
      <c r="N78" s="184" t="e">
        <f>'3 квартал'!N78+#REF!</f>
        <v>#REF!</v>
      </c>
      <c r="O78" s="210"/>
    </row>
    <row r="79" spans="1:15" ht="13.5" thickTop="1" thickBot="1">
      <c r="A79" s="862"/>
      <c r="B79" s="207"/>
      <c r="C79" s="208" t="s">
        <v>90</v>
      </c>
      <c r="D79" s="209">
        <f t="shared" si="10"/>
        <v>0</v>
      </c>
      <c r="E79" s="210"/>
      <c r="F79" s="210"/>
      <c r="G79" s="210"/>
      <c r="H79" s="209"/>
      <c r="I79" s="209"/>
      <c r="J79" s="209">
        <f t="shared" si="11"/>
        <v>0</v>
      </c>
      <c r="K79" s="210"/>
      <c r="L79" s="210"/>
      <c r="M79" s="210"/>
      <c r="N79" s="209"/>
      <c r="O79" s="209"/>
    </row>
    <row r="80" spans="1:15" ht="13.5" thickTop="1" thickBot="1">
      <c r="A80" s="862"/>
      <c r="B80" s="207"/>
      <c r="C80" s="208" t="s">
        <v>91</v>
      </c>
      <c r="D80" s="209">
        <f t="shared" si="10"/>
        <v>0</v>
      </c>
      <c r="E80" s="210"/>
      <c r="F80" s="210"/>
      <c r="G80" s="210"/>
      <c r="H80" s="210"/>
      <c r="I80" s="209"/>
      <c r="J80" s="209">
        <f t="shared" si="11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196">
        <f t="shared" si="10"/>
        <v>0</v>
      </c>
      <c r="E81" s="196"/>
      <c r="F81" s="196"/>
      <c r="G81" s="196"/>
      <c r="H81" s="185"/>
      <c r="I81" s="196"/>
      <c r="J81" s="196">
        <f t="shared" si="11"/>
        <v>0</v>
      </c>
      <c r="K81" s="196"/>
      <c r="L81" s="196"/>
      <c r="M81" s="196"/>
      <c r="N81" s="236"/>
      <c r="O81" s="196"/>
    </row>
    <row r="82" spans="1:15" ht="13.5" thickTop="1" thickBot="1">
      <c r="A82" s="862"/>
      <c r="B82" s="182" t="s">
        <v>182</v>
      </c>
      <c r="C82" s="182" t="s">
        <v>99</v>
      </c>
      <c r="D82" s="196">
        <f t="shared" si="10"/>
        <v>0</v>
      </c>
      <c r="E82" s="196"/>
      <c r="F82" s="196"/>
      <c r="G82" s="196"/>
      <c r="H82" s="185"/>
      <c r="I82" s="196"/>
      <c r="J82" s="196">
        <f t="shared" si="11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196"/>
      <c r="E83" s="196"/>
      <c r="F83" s="184" t="e">
        <f>'3 квартал'!F83+#REF!</f>
        <v>#REF!</v>
      </c>
      <c r="G83" s="196"/>
      <c r="H83" s="185"/>
      <c r="I83" s="196"/>
      <c r="J83" s="196" t="e">
        <f t="shared" si="11"/>
        <v>#REF!</v>
      </c>
      <c r="K83" s="196"/>
      <c r="L83" s="184" t="e">
        <f>'3 квартал'!L83+#REF!</f>
        <v>#REF!</v>
      </c>
      <c r="M83" s="196"/>
      <c r="N83" s="185"/>
      <c r="O83" s="196"/>
    </row>
    <row r="84" spans="1:15" ht="13.5" thickTop="1" thickBot="1">
      <c r="A84" s="862"/>
      <c r="B84" s="182" t="s">
        <v>184</v>
      </c>
      <c r="C84" s="182" t="s">
        <v>88</v>
      </c>
      <c r="D84" s="196">
        <f t="shared" si="10"/>
        <v>0</v>
      </c>
      <c r="E84" s="196"/>
      <c r="F84" s="196"/>
      <c r="G84" s="196"/>
      <c r="H84" s="196"/>
      <c r="I84" s="196"/>
      <c r="J84" s="196">
        <f t="shared" si="11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209">
        <f t="shared" si="10"/>
        <v>0</v>
      </c>
      <c r="E85" s="210"/>
      <c r="F85" s="210"/>
      <c r="G85" s="209"/>
      <c r="H85" s="209"/>
      <c r="I85" s="210"/>
      <c r="J85" s="209">
        <f t="shared" si="11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209">
        <f t="shared" si="10"/>
        <v>0</v>
      </c>
      <c r="E86" s="210"/>
      <c r="F86" s="210"/>
      <c r="G86" s="210"/>
      <c r="H86" s="209"/>
      <c r="I86" s="209"/>
      <c r="J86" s="209">
        <f t="shared" si="11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209">
        <f t="shared" si="10"/>
        <v>0</v>
      </c>
      <c r="E87" s="210"/>
      <c r="F87" s="210"/>
      <c r="G87" s="210"/>
      <c r="H87" s="210"/>
      <c r="I87" s="209"/>
      <c r="J87" s="209">
        <f t="shared" si="11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196">
        <f t="shared" si="10"/>
        <v>0</v>
      </c>
      <c r="E88" s="196"/>
      <c r="F88" s="196"/>
      <c r="G88" s="211"/>
      <c r="H88" s="211"/>
      <c r="I88" s="196"/>
      <c r="J88" s="196">
        <f t="shared" si="11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213" t="e">
        <f t="shared" si="10"/>
        <v>#REF!</v>
      </c>
      <c r="E89" s="184" t="e">
        <f>#REF!+#REF!+#REF!</f>
        <v>#REF!</v>
      </c>
      <c r="F89" s="184" t="e">
        <f>'3 квартал'!F89+#REF!</f>
        <v>#REF!</v>
      </c>
      <c r="G89" s="209"/>
      <c r="H89" s="209"/>
      <c r="I89" s="196"/>
      <c r="J89" s="213" t="e">
        <f t="shared" si="11"/>
        <v>#REF!</v>
      </c>
      <c r="K89" s="319"/>
      <c r="L89" s="184" t="e">
        <f>'3 квартал'!L89+#REF!</f>
        <v>#REF!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209">
        <f t="shared" si="10"/>
        <v>0</v>
      </c>
      <c r="E90" s="210"/>
      <c r="F90" s="210"/>
      <c r="G90" s="209"/>
      <c r="H90" s="209"/>
      <c r="I90" s="210"/>
      <c r="J90" s="209">
        <f t="shared" si="11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209">
        <f t="shared" si="10"/>
        <v>0</v>
      </c>
      <c r="E91" s="210"/>
      <c r="F91" s="210"/>
      <c r="G91" s="210"/>
      <c r="H91" s="209"/>
      <c r="I91" s="209"/>
      <c r="J91" s="209">
        <f t="shared" si="11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209">
        <f t="shared" si="10"/>
        <v>0</v>
      </c>
      <c r="E92" s="210"/>
      <c r="F92" s="210"/>
      <c r="G92" s="210"/>
      <c r="H92" s="210"/>
      <c r="I92" s="209"/>
      <c r="J92" s="209">
        <f t="shared" si="11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196">
        <f t="shared" si="10"/>
        <v>0</v>
      </c>
      <c r="E93" s="196"/>
      <c r="F93" s="196"/>
      <c r="G93" s="196"/>
      <c r="H93" s="185"/>
      <c r="I93" s="196"/>
      <c r="J93" s="196">
        <f t="shared" si="11"/>
        <v>0</v>
      </c>
      <c r="K93" s="196"/>
      <c r="L93" s="196"/>
      <c r="M93" s="196"/>
      <c r="N93" s="236"/>
      <c r="O93" s="196"/>
    </row>
    <row r="94" spans="1:15" ht="13.5" thickTop="1" thickBot="1">
      <c r="A94" s="862"/>
      <c r="B94" s="182" t="s">
        <v>188</v>
      </c>
      <c r="C94" s="182" t="s">
        <v>99</v>
      </c>
      <c r="D94" s="196">
        <f t="shared" si="10"/>
        <v>0</v>
      </c>
      <c r="E94" s="196"/>
      <c r="F94" s="196"/>
      <c r="G94" s="196"/>
      <c r="H94" s="185"/>
      <c r="I94" s="196"/>
      <c r="J94" s="196">
        <f t="shared" si="11"/>
        <v>0</v>
      </c>
      <c r="K94" s="196"/>
      <c r="L94" s="196"/>
      <c r="M94" s="196"/>
      <c r="N94" s="185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 t="e">
        <f t="shared" ref="D95:D106" si="12">SUM(E95:I95)</f>
        <v>#REF!</v>
      </c>
      <c r="E95" s="284"/>
      <c r="F95" s="325"/>
      <c r="G95" s="284"/>
      <c r="H95" s="338" t="e">
        <f>'3 квартал'!H95+#REF!</f>
        <v>#REF!</v>
      </c>
      <c r="I95" s="284"/>
      <c r="J95" s="206" t="e">
        <f t="shared" ref="J95:J106" si="13">SUM(K95:O95)</f>
        <v>#REF!</v>
      </c>
      <c r="K95" s="284"/>
      <c r="L95" s="325"/>
      <c r="M95" s="214"/>
      <c r="N95" s="184" t="e">
        <f>'3 квартал'!N95+#REF!</f>
        <v>#REF!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2"/>
        <v>0</v>
      </c>
      <c r="E96" s="324"/>
      <c r="F96" s="324"/>
      <c r="G96" s="324"/>
      <c r="H96" s="693"/>
      <c r="I96" s="324"/>
      <c r="J96" s="196">
        <f t="shared" si="13"/>
        <v>0</v>
      </c>
      <c r="K96" s="196"/>
      <c r="L96" s="196"/>
      <c r="M96" s="196"/>
      <c r="N96" s="196"/>
      <c r="O96" s="196"/>
    </row>
    <row r="97" spans="1:15" ht="13.5" thickTop="1" thickBot="1">
      <c r="A97" s="862"/>
      <c r="B97" s="207"/>
      <c r="C97" s="208" t="s">
        <v>89</v>
      </c>
      <c r="D97" s="326" t="e">
        <f t="shared" si="12"/>
        <v>#REF!</v>
      </c>
      <c r="E97" s="327"/>
      <c r="F97" s="327"/>
      <c r="G97" s="326"/>
      <c r="H97" s="338" t="e">
        <f>'3 квартал'!H97+#REF!</f>
        <v>#REF!</v>
      </c>
      <c r="I97" s="327"/>
      <c r="J97" s="209" t="e">
        <f t="shared" si="13"/>
        <v>#REF!</v>
      </c>
      <c r="K97" s="210"/>
      <c r="L97" s="210"/>
      <c r="M97" s="209"/>
      <c r="N97" s="338" t="e">
        <f>'3 квартал'!N97+#REF!</f>
        <v>#REF!</v>
      </c>
      <c r="O97" s="210"/>
    </row>
    <row r="98" spans="1:15" ht="13.5" thickTop="1" thickBot="1">
      <c r="A98" s="862"/>
      <c r="B98" s="207"/>
      <c r="C98" s="208" t="s">
        <v>90</v>
      </c>
      <c r="D98" s="326" t="e">
        <f t="shared" si="12"/>
        <v>#REF!</v>
      </c>
      <c r="E98" s="327"/>
      <c r="F98" s="327"/>
      <c r="G98" s="327"/>
      <c r="H98" s="338" t="e">
        <f>'3 квартал'!H98+#REF!</f>
        <v>#REF!</v>
      </c>
      <c r="I98" s="326"/>
      <c r="J98" s="209" t="e">
        <f t="shared" si="13"/>
        <v>#REF!</v>
      </c>
      <c r="K98" s="210"/>
      <c r="L98" s="210"/>
      <c r="M98" s="210"/>
      <c r="N98" s="338" t="e">
        <f>'3 квартал'!N98+#REF!</f>
        <v>#REF!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2"/>
        <v>0</v>
      </c>
      <c r="E99" s="327"/>
      <c r="F99" s="327"/>
      <c r="G99" s="327"/>
      <c r="H99" s="327"/>
      <c r="I99" s="326"/>
      <c r="J99" s="209">
        <f t="shared" si="13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2"/>
        <v>0</v>
      </c>
      <c r="E100" s="324"/>
      <c r="F100" s="324"/>
      <c r="G100" s="328"/>
      <c r="H100" s="184"/>
      <c r="I100" s="324"/>
      <c r="J100" s="196">
        <f t="shared" si="13"/>
        <v>0</v>
      </c>
      <c r="K100" s="196"/>
      <c r="L100" s="196"/>
      <c r="M100" s="211"/>
      <c r="N100" s="211"/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2"/>
        <v>0</v>
      </c>
      <c r="E101" s="380"/>
      <c r="F101" s="331"/>
      <c r="G101" s="326"/>
      <c r="H101" s="326"/>
      <c r="I101" s="324"/>
      <c r="J101" s="213">
        <f t="shared" si="13"/>
        <v>0</v>
      </c>
      <c r="K101" s="383"/>
      <c r="L101" s="320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2"/>
        <v>0</v>
      </c>
      <c r="E102" s="327"/>
      <c r="F102" s="327"/>
      <c r="G102" s="326"/>
      <c r="H102" s="326"/>
      <c r="I102" s="327"/>
      <c r="J102" s="209">
        <f t="shared" si="13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2"/>
        <v>0</v>
      </c>
      <c r="E103" s="327"/>
      <c r="F103" s="327"/>
      <c r="G103" s="327"/>
      <c r="H103" s="326"/>
      <c r="I103" s="326"/>
      <c r="J103" s="209">
        <f t="shared" si="13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2"/>
        <v>0</v>
      </c>
      <c r="E104" s="327"/>
      <c r="F104" s="327"/>
      <c r="G104" s="327"/>
      <c r="H104" s="327"/>
      <c r="I104" s="326"/>
      <c r="J104" s="209">
        <f t="shared" si="13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2"/>
        <v>0</v>
      </c>
      <c r="E105" s="324"/>
      <c r="F105" s="324"/>
      <c r="G105" s="324"/>
      <c r="H105" s="323"/>
      <c r="I105" s="324"/>
      <c r="J105" s="196">
        <f t="shared" si="13"/>
        <v>0</v>
      </c>
      <c r="K105" s="196"/>
      <c r="L105" s="196"/>
      <c r="M105" s="196"/>
      <c r="N105" s="185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2"/>
        <v>0</v>
      </c>
      <c r="E106" s="324"/>
      <c r="F106" s="324"/>
      <c r="G106" s="324"/>
      <c r="H106" s="323"/>
      <c r="I106" s="324"/>
      <c r="J106" s="196">
        <f t="shared" si="13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 t="e">
        <f t="shared" ref="D107:D118" si="14">SUM(E107:I107)</f>
        <v>#REF!</v>
      </c>
      <c r="E107" s="284"/>
      <c r="F107" s="325"/>
      <c r="G107" s="284"/>
      <c r="H107" s="338" t="e">
        <f>'3 квартал'!H107+#REF!</f>
        <v>#REF!</v>
      </c>
      <c r="I107" s="284"/>
      <c r="J107" s="206" t="e">
        <f t="shared" ref="J107:J118" si="15">SUM(K107:O107)</f>
        <v>#REF!</v>
      </c>
      <c r="K107" s="284"/>
      <c r="L107" s="325"/>
      <c r="M107" s="214"/>
      <c r="N107" s="338" t="e">
        <f>'3 квартал'!N107+#REF!</f>
        <v>#REF!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4"/>
        <v>0</v>
      </c>
      <c r="E108" s="324"/>
      <c r="F108" s="324"/>
      <c r="G108" s="324"/>
      <c r="H108" s="324"/>
      <c r="I108" s="324"/>
      <c r="J108" s="196">
        <f t="shared" si="15"/>
        <v>0</v>
      </c>
      <c r="K108" s="196"/>
      <c r="L108" s="196"/>
      <c r="M108" s="196"/>
      <c r="N108" s="196"/>
      <c r="O108" s="196"/>
    </row>
    <row r="109" spans="1:15" ht="13.5" thickTop="1" thickBot="1">
      <c r="A109" s="862"/>
      <c r="B109" s="207"/>
      <c r="C109" s="208" t="s">
        <v>89</v>
      </c>
      <c r="D109" s="326" t="e">
        <f t="shared" si="14"/>
        <v>#REF!</v>
      </c>
      <c r="E109" s="327"/>
      <c r="F109" s="327"/>
      <c r="G109" s="326"/>
      <c r="H109" s="338" t="e">
        <f>'3 квартал'!H109+#REF!</f>
        <v>#REF!</v>
      </c>
      <c r="I109" s="327"/>
      <c r="J109" s="209" t="e">
        <f t="shared" si="15"/>
        <v>#REF!</v>
      </c>
      <c r="K109" s="210"/>
      <c r="L109" s="210"/>
      <c r="M109" s="209"/>
      <c r="N109" s="338" t="e">
        <f>'3 квартал'!N109+#REF!</f>
        <v>#REF!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4"/>
        <v>0</v>
      </c>
      <c r="E110" s="327"/>
      <c r="F110" s="327"/>
      <c r="G110" s="327"/>
      <c r="H110" s="339"/>
      <c r="I110" s="326"/>
      <c r="J110" s="209">
        <f t="shared" si="15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4"/>
        <v>0</v>
      </c>
      <c r="E111" s="327"/>
      <c r="F111" s="327"/>
      <c r="G111" s="327"/>
      <c r="H111" s="327"/>
      <c r="I111" s="326"/>
      <c r="J111" s="209">
        <f t="shared" si="15"/>
        <v>0</v>
      </c>
      <c r="K111" s="210"/>
      <c r="L111" s="210"/>
      <c r="M111" s="210"/>
      <c r="N111" s="210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4"/>
        <v>0</v>
      </c>
      <c r="E112" s="324"/>
      <c r="F112" s="324"/>
      <c r="G112" s="328"/>
      <c r="H112" s="328"/>
      <c r="I112" s="324"/>
      <c r="J112" s="196">
        <f t="shared" si="15"/>
        <v>0</v>
      </c>
      <c r="K112" s="196"/>
      <c r="L112" s="196"/>
      <c r="M112" s="211"/>
      <c r="N112" s="211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4"/>
        <v>0</v>
      </c>
      <c r="E113" s="380"/>
      <c r="F113" s="331"/>
      <c r="G113" s="326"/>
      <c r="H113" s="326"/>
      <c r="I113" s="324"/>
      <c r="J113" s="213">
        <f t="shared" si="15"/>
        <v>0</v>
      </c>
      <c r="K113" s="383"/>
      <c r="L113" s="320"/>
      <c r="M113" s="209"/>
      <c r="N113" s="209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4"/>
        <v>0</v>
      </c>
      <c r="E114" s="327"/>
      <c r="F114" s="327"/>
      <c r="G114" s="326"/>
      <c r="H114" s="326"/>
      <c r="I114" s="327"/>
      <c r="J114" s="209">
        <f t="shared" si="15"/>
        <v>0</v>
      </c>
      <c r="K114" s="210"/>
      <c r="L114" s="210"/>
      <c r="M114" s="209"/>
      <c r="N114" s="209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4"/>
        <v>0</v>
      </c>
      <c r="E115" s="327"/>
      <c r="F115" s="327"/>
      <c r="G115" s="327"/>
      <c r="H115" s="326"/>
      <c r="I115" s="326"/>
      <c r="J115" s="209">
        <f t="shared" si="15"/>
        <v>0</v>
      </c>
      <c r="K115" s="210"/>
      <c r="L115" s="210"/>
      <c r="M115" s="210"/>
      <c r="N115" s="209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4"/>
        <v>0</v>
      </c>
      <c r="E116" s="327"/>
      <c r="F116" s="327"/>
      <c r="G116" s="327"/>
      <c r="H116" s="327"/>
      <c r="I116" s="326"/>
      <c r="J116" s="209">
        <f t="shared" si="15"/>
        <v>0</v>
      </c>
      <c r="K116" s="210"/>
      <c r="L116" s="210"/>
      <c r="M116" s="210"/>
      <c r="N116" s="210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4"/>
        <v>0</v>
      </c>
      <c r="E117" s="324"/>
      <c r="F117" s="324"/>
      <c r="G117" s="324"/>
      <c r="H117" s="324"/>
      <c r="I117" s="324"/>
      <c r="J117" s="196">
        <f t="shared" si="15"/>
        <v>0</v>
      </c>
      <c r="K117" s="196"/>
      <c r="L117" s="196"/>
      <c r="M117" s="196"/>
      <c r="N117" s="185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4"/>
        <v>0</v>
      </c>
      <c r="E118" s="324"/>
      <c r="F118" s="324"/>
      <c r="G118" s="324"/>
      <c r="H118" s="323"/>
      <c r="I118" s="324"/>
      <c r="J118" s="196">
        <f t="shared" si="15"/>
        <v>0</v>
      </c>
      <c r="K118" s="196"/>
      <c r="L118" s="196"/>
      <c r="M118" s="196"/>
      <c r="N118" s="196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 t="e">
        <f t="shared" ref="D119:D130" si="16">SUM(E119:I119)</f>
        <v>#REF!</v>
      </c>
      <c r="E119" s="284"/>
      <c r="F119" s="325"/>
      <c r="G119" s="284"/>
      <c r="H119" s="338" t="e">
        <f>'3 квартал'!H119+#REF!</f>
        <v>#REF!</v>
      </c>
      <c r="I119" s="284"/>
      <c r="J119" s="206" t="e">
        <f t="shared" ref="J119:J130" si="17">SUM(K119:O119)</f>
        <v>#REF!</v>
      </c>
      <c r="K119" s="284"/>
      <c r="L119" s="325"/>
      <c r="M119" s="214"/>
      <c r="N119" s="338" t="e">
        <f>'3 квартал'!N119+#REF!</f>
        <v>#REF!</v>
      </c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16"/>
        <v>0</v>
      </c>
      <c r="E120" s="324"/>
      <c r="F120" s="324"/>
      <c r="G120" s="324"/>
      <c r="H120" s="196"/>
      <c r="I120" s="324"/>
      <c r="J120" s="196">
        <f t="shared" si="17"/>
        <v>0</v>
      </c>
      <c r="K120" s="196"/>
      <c r="L120" s="196"/>
      <c r="M120" s="196"/>
      <c r="N120" s="196"/>
      <c r="O120" s="196"/>
    </row>
    <row r="121" spans="1:15" ht="13.5" thickTop="1" thickBot="1">
      <c r="A121" s="862"/>
      <c r="B121" s="207"/>
      <c r="C121" s="208" t="s">
        <v>89</v>
      </c>
      <c r="D121" s="326" t="e">
        <f t="shared" si="16"/>
        <v>#REF!</v>
      </c>
      <c r="E121" s="327"/>
      <c r="F121" s="327"/>
      <c r="G121" s="326"/>
      <c r="H121" s="338" t="e">
        <f>'3 квартал'!H121+#REF!</f>
        <v>#REF!</v>
      </c>
      <c r="I121" s="327"/>
      <c r="J121" s="209" t="e">
        <f t="shared" si="17"/>
        <v>#REF!</v>
      </c>
      <c r="K121" s="210"/>
      <c r="L121" s="210"/>
      <c r="M121" s="209"/>
      <c r="N121" s="338" t="e">
        <f>'3 квартал'!N121+#REF!</f>
        <v>#REF!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16"/>
        <v>0</v>
      </c>
      <c r="E122" s="327"/>
      <c r="F122" s="327"/>
      <c r="G122" s="327"/>
      <c r="H122" s="339"/>
      <c r="I122" s="326"/>
      <c r="J122" s="209">
        <f t="shared" si="17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16"/>
        <v>0</v>
      </c>
      <c r="E123" s="327"/>
      <c r="F123" s="327"/>
      <c r="G123" s="327"/>
      <c r="H123" s="327"/>
      <c r="I123" s="326"/>
      <c r="J123" s="209">
        <f t="shared" si="17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16"/>
        <v>0</v>
      </c>
      <c r="E124" s="324"/>
      <c r="F124" s="324"/>
      <c r="G124" s="328"/>
      <c r="H124" s="328"/>
      <c r="I124" s="324"/>
      <c r="J124" s="196">
        <f t="shared" si="17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16"/>
        <v>0</v>
      </c>
      <c r="E125" s="380"/>
      <c r="F125" s="331"/>
      <c r="G125" s="326"/>
      <c r="H125" s="326"/>
      <c r="I125" s="324"/>
      <c r="J125" s="213">
        <f t="shared" si="17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16"/>
        <v>0</v>
      </c>
      <c r="E126" s="327"/>
      <c r="F126" s="327"/>
      <c r="G126" s="326"/>
      <c r="H126" s="326"/>
      <c r="I126" s="327"/>
      <c r="J126" s="209">
        <f t="shared" si="17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16"/>
        <v>0</v>
      </c>
      <c r="E127" s="327"/>
      <c r="F127" s="327"/>
      <c r="G127" s="327"/>
      <c r="H127" s="326"/>
      <c r="I127" s="326"/>
      <c r="J127" s="209">
        <f t="shared" si="17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16"/>
        <v>0</v>
      </c>
      <c r="E128" s="327"/>
      <c r="F128" s="327"/>
      <c r="G128" s="327"/>
      <c r="H128" s="327"/>
      <c r="I128" s="326"/>
      <c r="J128" s="209">
        <f t="shared" si="17"/>
        <v>0</v>
      </c>
      <c r="K128" s="210"/>
      <c r="L128" s="210"/>
      <c r="M128" s="210"/>
      <c r="N128" s="210"/>
      <c r="O128" s="209"/>
    </row>
    <row r="129" spans="1:16" ht="13.5" thickTop="1" thickBot="1">
      <c r="A129" s="862"/>
      <c r="B129" s="182" t="s">
        <v>246</v>
      </c>
      <c r="C129" s="182" t="s">
        <v>97</v>
      </c>
      <c r="D129" s="324">
        <f t="shared" si="16"/>
        <v>0</v>
      </c>
      <c r="E129" s="324"/>
      <c r="F129" s="324"/>
      <c r="G129" s="324"/>
      <c r="H129" s="324"/>
      <c r="I129" s="324"/>
      <c r="J129" s="196">
        <f t="shared" si="17"/>
        <v>0</v>
      </c>
      <c r="K129" s="196"/>
      <c r="L129" s="196"/>
      <c r="M129" s="196"/>
      <c r="N129" s="185"/>
      <c r="O129" s="196"/>
    </row>
    <row r="130" spans="1:16" ht="13.5" thickTop="1" thickBot="1">
      <c r="A130" s="862"/>
      <c r="B130" s="182" t="s">
        <v>247</v>
      </c>
      <c r="C130" s="182" t="s">
        <v>99</v>
      </c>
      <c r="D130" s="324">
        <f t="shared" si="16"/>
        <v>0</v>
      </c>
      <c r="E130" s="324"/>
      <c r="F130" s="324"/>
      <c r="G130" s="324"/>
      <c r="H130" s="323"/>
      <c r="I130" s="324"/>
      <c r="J130" s="196">
        <f t="shared" si="17"/>
        <v>0</v>
      </c>
      <c r="K130" s="196"/>
      <c r="L130" s="196"/>
      <c r="M130" s="196"/>
      <c r="N130" s="196"/>
      <c r="O130" s="196"/>
    </row>
    <row r="131" spans="1:16" ht="13.5" thickTop="1" thickBot="1">
      <c r="A131" s="862"/>
      <c r="B131" s="204" t="s">
        <v>250</v>
      </c>
      <c r="C131" s="595" t="s">
        <v>249</v>
      </c>
      <c r="D131" s="325" t="e">
        <f t="shared" ref="D131:D142" si="18">SUM(E131:I131)</f>
        <v>#REF!</v>
      </c>
      <c r="E131" s="284"/>
      <c r="F131" s="325"/>
      <c r="G131" s="284"/>
      <c r="H131" s="338" t="e">
        <f>'3 квартал'!H131+#REF!</f>
        <v>#REF!</v>
      </c>
      <c r="I131" s="338" t="e">
        <f>'3 квартал'!I131+#REF!</f>
        <v>#REF!</v>
      </c>
      <c r="J131" s="206" t="e">
        <f t="shared" ref="J131:J142" si="19">SUM(K131:O131)</f>
        <v>#REF!</v>
      </c>
      <c r="K131" s="284"/>
      <c r="L131" s="325"/>
      <c r="M131" s="214"/>
      <c r="N131" s="338" t="e">
        <f>'3 квартал'!N131+#REF!</f>
        <v>#REF!</v>
      </c>
      <c r="O131" s="338" t="e">
        <f>'3 квартал'!O131+#REF!</f>
        <v>#REF!</v>
      </c>
    </row>
    <row r="132" spans="1:16" ht="13.5" thickTop="1" thickBot="1">
      <c r="A132" s="862"/>
      <c r="B132" s="182" t="s">
        <v>251</v>
      </c>
      <c r="C132" s="182" t="s">
        <v>88</v>
      </c>
      <c r="D132" s="324">
        <f t="shared" si="18"/>
        <v>0</v>
      </c>
      <c r="E132" s="324"/>
      <c r="F132" s="324"/>
      <c r="G132" s="324"/>
      <c r="H132" s="324"/>
      <c r="I132" s="324"/>
      <c r="J132" s="196">
        <f t="shared" si="19"/>
        <v>0</v>
      </c>
      <c r="K132" s="196"/>
      <c r="L132" s="196"/>
      <c r="M132" s="196"/>
      <c r="N132" s="196"/>
      <c r="O132" s="196"/>
    </row>
    <row r="133" spans="1:16" ht="13.5" thickTop="1" thickBot="1">
      <c r="A133" s="862"/>
      <c r="B133" s="207"/>
      <c r="C133" s="208" t="s">
        <v>89</v>
      </c>
      <c r="D133" s="326">
        <f t="shared" si="18"/>
        <v>0</v>
      </c>
      <c r="E133" s="327"/>
      <c r="F133" s="327"/>
      <c r="G133" s="326"/>
      <c r="H133" s="339"/>
      <c r="I133" s="327"/>
      <c r="J133" s="209">
        <f t="shared" si="19"/>
        <v>0</v>
      </c>
      <c r="K133" s="210"/>
      <c r="L133" s="210"/>
      <c r="M133" s="209"/>
      <c r="N133" s="339"/>
      <c r="O133" s="210"/>
    </row>
    <row r="134" spans="1:16" ht="13.5" thickTop="1" thickBot="1">
      <c r="A134" s="862"/>
      <c r="B134" s="207"/>
      <c r="C134" s="208" t="s">
        <v>90</v>
      </c>
      <c r="D134" s="326">
        <f t="shared" si="18"/>
        <v>0</v>
      </c>
      <c r="E134" s="327"/>
      <c r="F134" s="327"/>
      <c r="G134" s="327"/>
      <c r="H134" s="339"/>
      <c r="I134" s="326"/>
      <c r="J134" s="209">
        <f t="shared" si="19"/>
        <v>0</v>
      </c>
      <c r="K134" s="210"/>
      <c r="L134" s="210"/>
      <c r="M134" s="210"/>
      <c r="N134" s="699"/>
      <c r="O134" s="209"/>
    </row>
    <row r="135" spans="1:16" ht="13.5" thickTop="1" thickBot="1">
      <c r="A135" s="862"/>
      <c r="B135" s="207"/>
      <c r="C135" s="208" t="s">
        <v>91</v>
      </c>
      <c r="D135" s="326">
        <f t="shared" si="18"/>
        <v>0</v>
      </c>
      <c r="E135" s="327"/>
      <c r="F135" s="327"/>
      <c r="G135" s="327"/>
      <c r="H135" s="327"/>
      <c r="I135" s="326"/>
      <c r="J135" s="209">
        <f t="shared" si="19"/>
        <v>0</v>
      </c>
      <c r="K135" s="210"/>
      <c r="L135" s="210"/>
      <c r="M135" s="210"/>
      <c r="N135" s="210"/>
      <c r="O135" s="209"/>
    </row>
    <row r="136" spans="1:16" ht="13.5" thickTop="1" thickBot="1">
      <c r="A136" s="862"/>
      <c r="B136" s="182" t="s">
        <v>252</v>
      </c>
      <c r="C136" s="182" t="s">
        <v>93</v>
      </c>
      <c r="D136" s="324">
        <f t="shared" si="18"/>
        <v>0</v>
      </c>
      <c r="E136" s="324"/>
      <c r="F136" s="324"/>
      <c r="G136" s="328"/>
      <c r="H136" s="328"/>
      <c r="I136" s="324"/>
      <c r="J136" s="196">
        <f t="shared" si="19"/>
        <v>0</v>
      </c>
      <c r="K136" s="196"/>
      <c r="L136" s="196"/>
      <c r="M136" s="211"/>
      <c r="N136" s="211"/>
      <c r="O136" s="196"/>
    </row>
    <row r="137" spans="1:16" ht="13.5" thickTop="1" thickBot="1">
      <c r="A137" s="862"/>
      <c r="B137" s="182" t="s">
        <v>253</v>
      </c>
      <c r="C137" s="182" t="s">
        <v>95</v>
      </c>
      <c r="D137" s="330">
        <f t="shared" si="18"/>
        <v>0</v>
      </c>
      <c r="E137" s="380"/>
      <c r="F137" s="331"/>
      <c r="G137" s="326"/>
      <c r="H137" s="326"/>
      <c r="I137" s="324"/>
      <c r="J137" s="213">
        <f t="shared" si="19"/>
        <v>0</v>
      </c>
      <c r="K137" s="383"/>
      <c r="L137" s="320"/>
      <c r="M137" s="209"/>
      <c r="N137" s="209"/>
      <c r="O137" s="196"/>
    </row>
    <row r="138" spans="1:16" ht="13.5" thickTop="1" thickBot="1">
      <c r="A138" s="862"/>
      <c r="B138" s="207"/>
      <c r="C138" s="208" t="s">
        <v>89</v>
      </c>
      <c r="D138" s="326">
        <f t="shared" si="18"/>
        <v>0</v>
      </c>
      <c r="E138" s="327"/>
      <c r="F138" s="327"/>
      <c r="G138" s="326"/>
      <c r="H138" s="326"/>
      <c r="I138" s="327"/>
      <c r="J138" s="209">
        <f t="shared" si="19"/>
        <v>0</v>
      </c>
      <c r="K138" s="210"/>
      <c r="L138" s="210"/>
      <c r="M138" s="209"/>
      <c r="N138" s="209"/>
      <c r="O138" s="210"/>
    </row>
    <row r="139" spans="1:16" ht="13.5" thickTop="1" thickBot="1">
      <c r="A139" s="862"/>
      <c r="B139" s="207"/>
      <c r="C139" s="208" t="s">
        <v>90</v>
      </c>
      <c r="D139" s="326">
        <f t="shared" si="18"/>
        <v>0</v>
      </c>
      <c r="E139" s="327"/>
      <c r="F139" s="327"/>
      <c r="G139" s="327"/>
      <c r="H139" s="326"/>
      <c r="I139" s="326"/>
      <c r="J139" s="209">
        <f t="shared" si="19"/>
        <v>0</v>
      </c>
      <c r="K139" s="210"/>
      <c r="L139" s="210"/>
      <c r="M139" s="210"/>
      <c r="N139" s="209"/>
      <c r="O139" s="209"/>
    </row>
    <row r="140" spans="1:16" ht="13.5" thickTop="1" thickBot="1">
      <c r="A140" s="862"/>
      <c r="B140" s="207"/>
      <c r="C140" s="208" t="s">
        <v>91</v>
      </c>
      <c r="D140" s="326">
        <f t="shared" si="18"/>
        <v>0</v>
      </c>
      <c r="E140" s="327"/>
      <c r="F140" s="327"/>
      <c r="G140" s="327"/>
      <c r="H140" s="327"/>
      <c r="I140" s="326"/>
      <c r="J140" s="209">
        <f t="shared" si="19"/>
        <v>0</v>
      </c>
      <c r="K140" s="210"/>
      <c r="L140" s="210"/>
      <c r="M140" s="210"/>
      <c r="N140" s="210"/>
      <c r="O140" s="209"/>
    </row>
    <row r="141" spans="1:16" ht="13.5" thickTop="1" thickBot="1">
      <c r="A141" s="862"/>
      <c r="B141" s="182" t="s">
        <v>254</v>
      </c>
      <c r="C141" s="182" t="s">
        <v>97</v>
      </c>
      <c r="D141" s="324">
        <f t="shared" si="18"/>
        <v>0</v>
      </c>
      <c r="E141" s="324"/>
      <c r="F141" s="324"/>
      <c r="G141" s="324"/>
      <c r="H141" s="324"/>
      <c r="I141" s="324"/>
      <c r="J141" s="196">
        <f t="shared" si="19"/>
        <v>0</v>
      </c>
      <c r="K141" s="196"/>
      <c r="L141" s="196"/>
      <c r="M141" s="196"/>
      <c r="N141" s="185"/>
      <c r="O141" s="196"/>
    </row>
    <row r="142" spans="1:16" ht="13.5" thickTop="1" thickBot="1">
      <c r="A142" s="862"/>
      <c r="B142" s="182" t="s">
        <v>255</v>
      </c>
      <c r="C142" s="182" t="s">
        <v>99</v>
      </c>
      <c r="D142" s="324">
        <f t="shared" si="18"/>
        <v>0</v>
      </c>
      <c r="E142" s="324"/>
      <c r="F142" s="324"/>
      <c r="G142" s="324"/>
      <c r="H142" s="323"/>
      <c r="I142" s="324"/>
      <c r="J142" s="196">
        <f t="shared" si="19"/>
        <v>0</v>
      </c>
      <c r="K142" s="196"/>
      <c r="L142" s="196"/>
      <c r="M142" s="196"/>
      <c r="N142" s="196"/>
      <c r="O142" s="196"/>
    </row>
    <row r="143" spans="1:16" ht="12.75" customHeight="1" thickTop="1" thickBot="1">
      <c r="A143" s="862"/>
      <c r="B143" s="179" t="s">
        <v>100</v>
      </c>
      <c r="C143" s="179" t="s">
        <v>101</v>
      </c>
      <c r="D143" s="181" t="e">
        <f t="shared" si="10"/>
        <v>#REF!</v>
      </c>
      <c r="E143" s="233" t="e">
        <f>SUM(E144:E147)</f>
        <v>#REF!</v>
      </c>
      <c r="F143" s="233" t="e">
        <f>SUM(F144:F147)</f>
        <v>#REF!</v>
      </c>
      <c r="G143" s="233" t="e">
        <f>SUM(G144:G147)</f>
        <v>#REF!</v>
      </c>
      <c r="H143" s="233" t="e">
        <f>SUM(H144:H147)</f>
        <v>#REF!</v>
      </c>
      <c r="I143" s="181" t="e">
        <f>SUM(I144:I147)</f>
        <v>#REF!</v>
      </c>
      <c r="J143" s="181" t="e">
        <f t="shared" si="11"/>
        <v>#REF!</v>
      </c>
      <c r="K143" s="233" t="e">
        <f>SUM(K144:K147)</f>
        <v>#REF!</v>
      </c>
      <c r="L143" s="233" t="e">
        <f>SUM(L144:L147)</f>
        <v>#REF!</v>
      </c>
      <c r="M143" s="233" t="e">
        <f>SUM(M144:M147)</f>
        <v>#REF!</v>
      </c>
      <c r="N143" s="233" t="e">
        <f>SUM(N144:N147)</f>
        <v>#REF!</v>
      </c>
      <c r="O143" s="181" t="e">
        <f>SUM(O144:O147)</f>
        <v>#REF!</v>
      </c>
      <c r="P143" s="24"/>
    </row>
    <row r="144" spans="1:16" ht="12.75" customHeight="1" thickTop="1" thickBot="1">
      <c r="A144" s="862"/>
      <c r="B144" s="186" t="s">
        <v>102</v>
      </c>
      <c r="C144" s="187" t="s">
        <v>103</v>
      </c>
      <c r="D144" s="217" t="e">
        <f t="shared" si="10"/>
        <v>#REF!</v>
      </c>
      <c r="E144" s="235"/>
      <c r="F144" s="235"/>
      <c r="G144" s="235"/>
      <c r="H144" s="235"/>
      <c r="I144" s="184" t="e">
        <f>#REF!+#REF!+#REF!</f>
        <v>#REF!</v>
      </c>
      <c r="J144" s="218" t="e">
        <f t="shared" si="11"/>
        <v>#REF!</v>
      </c>
      <c r="K144" s="235"/>
      <c r="L144" s="235"/>
      <c r="M144" s="235"/>
      <c r="N144" s="235"/>
      <c r="O144" s="184" t="e">
        <f>#REF!+#REF!+#REF!</f>
        <v>#REF!</v>
      </c>
      <c r="P144" s="24"/>
    </row>
    <row r="145" spans="1:19" ht="12.75" customHeight="1" thickTop="1" thickBot="1">
      <c r="A145" s="862"/>
      <c r="B145" s="186" t="s">
        <v>104</v>
      </c>
      <c r="C145" s="187" t="s">
        <v>206</v>
      </c>
      <c r="D145" s="217" t="e">
        <f t="shared" si="10"/>
        <v>#REF!</v>
      </c>
      <c r="E145" s="235"/>
      <c r="F145" s="235"/>
      <c r="G145" s="235"/>
      <c r="H145" s="235"/>
      <c r="I145" s="184" t="e">
        <f>#REF!+#REF!+#REF!</f>
        <v>#REF!</v>
      </c>
      <c r="J145" s="218" t="e">
        <f t="shared" si="11"/>
        <v>#REF!</v>
      </c>
      <c r="K145" s="235"/>
      <c r="L145" s="235"/>
      <c r="M145" s="235"/>
      <c r="N145" s="235"/>
      <c r="O145" s="184" t="e">
        <f>#REF!+#REF!+#REF!</f>
        <v>#REF!</v>
      </c>
      <c r="P145" s="24"/>
    </row>
    <row r="146" spans="1:19" ht="12.75" customHeight="1" thickTop="1" thickBot="1">
      <c r="A146" s="862"/>
      <c r="B146" s="186" t="s">
        <v>106</v>
      </c>
      <c r="C146" s="187" t="s">
        <v>105</v>
      </c>
      <c r="D146" s="217" t="e">
        <f t="shared" si="10"/>
        <v>#REF!</v>
      </c>
      <c r="E146" s="184" t="e">
        <f>'3 квартал'!E146+#REF!</f>
        <v>#REF!</v>
      </c>
      <c r="F146" s="184" t="e">
        <f>'3 квартал'!F146+#REF!</f>
        <v>#REF!</v>
      </c>
      <c r="G146" s="184" t="e">
        <f>'3 квартал'!G146+#REF!</f>
        <v>#REF!</v>
      </c>
      <c r="H146" s="184" t="e">
        <f>'3 квартал'!H146+#REF!</f>
        <v>#REF!</v>
      </c>
      <c r="I146" s="184" t="e">
        <f>'3 квартал'!I146+#REF!</f>
        <v>#REF!</v>
      </c>
      <c r="J146" s="218" t="e">
        <f t="shared" si="11"/>
        <v>#REF!</v>
      </c>
      <c r="K146" s="184" t="e">
        <f>'3 квартал'!K146+#REF!</f>
        <v>#REF!</v>
      </c>
      <c r="L146" s="184" t="e">
        <f>'3 квартал'!L146+#REF!</f>
        <v>#REF!</v>
      </c>
      <c r="M146" s="184" t="e">
        <f>'3 квартал'!M146+#REF!</f>
        <v>#REF!</v>
      </c>
      <c r="N146" s="184" t="e">
        <f>'3 квартал'!N146+#REF!</f>
        <v>#REF!</v>
      </c>
      <c r="O146" s="184" t="e">
        <f>'3 квартал'!O146+#REF!</f>
        <v>#REF!</v>
      </c>
    </row>
    <row r="147" spans="1:19" ht="12.75" customHeight="1" thickTop="1" thickBot="1">
      <c r="A147" s="862"/>
      <c r="B147" s="186" t="s">
        <v>207</v>
      </c>
      <c r="C147" s="187" t="s">
        <v>107</v>
      </c>
      <c r="D147" s="217" t="e">
        <f t="shared" si="10"/>
        <v>#REF!</v>
      </c>
      <c r="E147" s="184" t="e">
        <f>'3 квартал'!E147+#REF!</f>
        <v>#REF!</v>
      </c>
      <c r="F147" s="184" t="e">
        <f>'3 квартал'!F147+#REF!</f>
        <v>#REF!</v>
      </c>
      <c r="G147" s="184" t="e">
        <f>'3 квартал'!G147+#REF!</f>
        <v>#REF!</v>
      </c>
      <c r="H147" s="184" t="e">
        <f>'3 квартал'!H147+#REF!</f>
        <v>#REF!</v>
      </c>
      <c r="I147" s="184" t="e">
        <f>'3 квартал'!I147+#REF!</f>
        <v>#REF!</v>
      </c>
      <c r="J147" s="218" t="e">
        <f t="shared" si="11"/>
        <v>#REF!</v>
      </c>
      <c r="K147" s="184" t="e">
        <f>'3 квартал'!K147+#REF!</f>
        <v>#REF!</v>
      </c>
      <c r="L147" s="184" t="e">
        <f>'3 квартал'!L147+#REF!</f>
        <v>#REF!</v>
      </c>
      <c r="M147" s="184" t="e">
        <f>'3 квартал'!M147+#REF!</f>
        <v>#REF!</v>
      </c>
      <c r="N147" s="184" t="e">
        <f>'3 квартал'!N147+#REF!</f>
        <v>#REF!</v>
      </c>
      <c r="O147" s="184" t="e">
        <f>'3 квартал'!O147+#REF!</f>
        <v>#REF!</v>
      </c>
    </row>
    <row r="148" spans="1:19" ht="12.75" customHeight="1" thickTop="1" thickBot="1">
      <c r="A148" s="862"/>
      <c r="B148" s="186" t="s">
        <v>108</v>
      </c>
      <c r="C148" s="186" t="s">
        <v>208</v>
      </c>
      <c r="D148" s="291" t="e">
        <f>D150/1.18/D143</f>
        <v>#REF!</v>
      </c>
      <c r="E148" s="596"/>
      <c r="F148" s="596"/>
      <c r="G148" s="596"/>
      <c r="H148" s="596"/>
      <c r="I148" s="596"/>
      <c r="J148" s="291" t="e">
        <f>J150/1.18/J143</f>
        <v>#REF!</v>
      </c>
      <c r="K148" s="596"/>
      <c r="L148" s="596"/>
      <c r="M148" s="596"/>
      <c r="N148" s="596"/>
      <c r="O148" s="596"/>
    </row>
    <row r="149" spans="1:19" ht="12.75" customHeight="1" thickTop="1" thickBot="1">
      <c r="A149" s="862"/>
      <c r="B149" s="186" t="s">
        <v>205</v>
      </c>
      <c r="C149" s="186" t="s">
        <v>208</v>
      </c>
      <c r="D149" s="291"/>
      <c r="E149" s="289"/>
      <c r="F149" s="290"/>
      <c r="G149" s="290"/>
      <c r="H149" s="290"/>
      <c r="I149" s="598"/>
      <c r="J149" s="291"/>
      <c r="K149" s="289"/>
      <c r="L149" s="290"/>
      <c r="M149" s="290"/>
      <c r="N149" s="290"/>
      <c r="O149" s="598"/>
    </row>
    <row r="150" spans="1:19" ht="12.75" customHeight="1" thickTop="1" thickBot="1">
      <c r="A150" s="862"/>
      <c r="B150" s="186" t="s">
        <v>109</v>
      </c>
      <c r="C150" s="219" t="s">
        <v>110</v>
      </c>
      <c r="D150" s="285" t="e">
        <f>SUM(E150:I150)</f>
        <v>#REF!</v>
      </c>
      <c r="E150" s="338" t="e">
        <f>'3 квартал'!E150+#REF!</f>
        <v>#REF!</v>
      </c>
      <c r="F150" s="338" t="e">
        <f>'3 квартал'!F150+#REF!</f>
        <v>#REF!</v>
      </c>
      <c r="G150" s="338" t="e">
        <f>'3 квартал'!G150+#REF!</f>
        <v>#REF!</v>
      </c>
      <c r="H150" s="338" t="e">
        <f>'3 квартал'!H150+#REF!</f>
        <v>#REF!</v>
      </c>
      <c r="I150" s="338" t="e">
        <f>'3 квартал'!I150+#REF!</f>
        <v>#REF!</v>
      </c>
      <c r="J150" s="261" t="e">
        <f>SUM(K150:O150)</f>
        <v>#REF!</v>
      </c>
      <c r="K150" s="338" t="e">
        <f>'3 квартал'!K150+#REF!</f>
        <v>#REF!</v>
      </c>
      <c r="L150" s="338" t="e">
        <f>'3 квартал'!L150+#REF!</f>
        <v>#REF!</v>
      </c>
      <c r="M150" s="338" t="e">
        <f>'3 квартал'!M150+#REF!</f>
        <v>#REF!</v>
      </c>
      <c r="N150" s="338" t="e">
        <f>'3 квартал'!N150+#REF!</f>
        <v>#REF!</v>
      </c>
      <c r="O150" s="338" t="e">
        <f>'3 квартал'!O150+#REF!</f>
        <v>#REF!</v>
      </c>
      <c r="Q150" s="24"/>
    </row>
    <row r="151" spans="1:19" ht="12.75" customHeight="1" thickTop="1" thickBot="1">
      <c r="A151" s="863" t="s">
        <v>111</v>
      </c>
      <c r="B151" s="220" t="s">
        <v>112</v>
      </c>
      <c r="C151" s="221" t="s">
        <v>113</v>
      </c>
      <c r="D151" s="222" t="e">
        <f>SUM(E151:I151)</f>
        <v>#REF!</v>
      </c>
      <c r="E151" s="222" t="e">
        <f>E44-E34-E46</f>
        <v>#REF!</v>
      </c>
      <c r="F151" s="222" t="e">
        <f>F44-F34-F46</f>
        <v>#REF!</v>
      </c>
      <c r="G151" s="222" t="e">
        <f>G44-G34-G46</f>
        <v>#REF!</v>
      </c>
      <c r="H151" s="222" t="e">
        <f>H44-H34-H46</f>
        <v>#REF!</v>
      </c>
      <c r="I151" s="222" t="e">
        <f>I44-I34-I46</f>
        <v>#REF!</v>
      </c>
      <c r="J151" s="222" t="e">
        <f>SUM(K151:O151)</f>
        <v>#REF!</v>
      </c>
      <c r="K151" s="222" t="e">
        <f>K44-K34-K46</f>
        <v>#REF!</v>
      </c>
      <c r="L151" s="222" t="e">
        <f>L44-L34-L46</f>
        <v>#REF!</v>
      </c>
      <c r="M151" s="222" t="e">
        <f>M44-M34-M46</f>
        <v>#REF!</v>
      </c>
      <c r="N151" s="222" t="e">
        <f>N44-N34-N46</f>
        <v>#REF!</v>
      </c>
      <c r="O151" s="222" t="e">
        <f>O44-O34-O46</f>
        <v>#REF!</v>
      </c>
    </row>
    <row r="152" spans="1:19" ht="12.75" customHeight="1" thickTop="1" thickBot="1">
      <c r="A152" s="863"/>
      <c r="B152" s="234" t="s">
        <v>114</v>
      </c>
      <c r="C152" s="179" t="s">
        <v>115</v>
      </c>
      <c r="D152" s="346" t="e">
        <f t="shared" ref="D152:J152" si="20">IF(D44=0,0,D151/D44*100)</f>
        <v>#REF!</v>
      </c>
      <c r="E152" s="346" t="e">
        <f t="shared" si="20"/>
        <v>#REF!</v>
      </c>
      <c r="F152" s="346" t="e">
        <f t="shared" si="20"/>
        <v>#REF!</v>
      </c>
      <c r="G152" s="346" t="e">
        <f t="shared" si="20"/>
        <v>#REF!</v>
      </c>
      <c r="H152" s="346" t="e">
        <f t="shared" si="20"/>
        <v>#REF!</v>
      </c>
      <c r="I152" s="346" t="e">
        <f t="shared" si="20"/>
        <v>#REF!</v>
      </c>
      <c r="J152" s="346" t="e">
        <f t="shared" si="20"/>
        <v>#REF!</v>
      </c>
      <c r="K152" s="346" t="e">
        <f>IF(K44=0,0,K151/K44*100)</f>
        <v>#REF!</v>
      </c>
      <c r="L152" s="346" t="e">
        <f t="shared" ref="L152:O152" si="21">IF(L44=0,0,L151/L44*100)</f>
        <v>#REF!</v>
      </c>
      <c r="M152" s="346" t="e">
        <f t="shared" si="21"/>
        <v>#REF!</v>
      </c>
      <c r="N152" s="346" t="e">
        <f t="shared" si="21"/>
        <v>#REF!</v>
      </c>
      <c r="O152" s="346" t="e">
        <f t="shared" si="21"/>
        <v>#REF!</v>
      </c>
    </row>
    <row r="153" spans="1:19" ht="12.75" customHeight="1" thickTop="1" thickBot="1">
      <c r="A153" s="863"/>
      <c r="B153" s="234" t="s">
        <v>116</v>
      </c>
      <c r="C153" s="179" t="s">
        <v>117</v>
      </c>
      <c r="D153" s="346" t="e">
        <f t="shared" ref="D153:J153" si="22">IF(D45=0,0,D151/D45*100)</f>
        <v>#REF!</v>
      </c>
      <c r="E153" s="346" t="e">
        <f t="shared" si="22"/>
        <v>#REF!</v>
      </c>
      <c r="F153" s="346" t="e">
        <f t="shared" si="22"/>
        <v>#REF!</v>
      </c>
      <c r="G153" s="346" t="e">
        <f t="shared" si="22"/>
        <v>#REF!</v>
      </c>
      <c r="H153" s="346" t="e">
        <f t="shared" si="22"/>
        <v>#REF!</v>
      </c>
      <c r="I153" s="346" t="e">
        <f t="shared" si="22"/>
        <v>#REF!</v>
      </c>
      <c r="J153" s="346" t="e">
        <f t="shared" si="22"/>
        <v>#REF!</v>
      </c>
      <c r="K153" s="346" t="e">
        <f>IF(K45=0,0,K151/K45*100)</f>
        <v>#REF!</v>
      </c>
      <c r="L153" s="346" t="e">
        <f t="shared" ref="L153:O153" si="23">IF(L45=0,0,L151/L45*100)</f>
        <v>#REF!</v>
      </c>
      <c r="M153" s="346" t="e">
        <f t="shared" si="23"/>
        <v>#REF!</v>
      </c>
      <c r="N153" s="346" t="e">
        <f t="shared" si="23"/>
        <v>#REF!</v>
      </c>
      <c r="O153" s="346" t="e">
        <f t="shared" si="23"/>
        <v>#REF!</v>
      </c>
    </row>
    <row r="154" spans="1:19" ht="12.75" customHeight="1" thickTop="1" thickBot="1">
      <c r="A154" s="863"/>
      <c r="B154" s="224" t="s">
        <v>118</v>
      </c>
      <c r="C154" s="225" t="s">
        <v>209</v>
      </c>
      <c r="D154" s="451" t="e">
        <f>SUM(E154:I154)</f>
        <v>#REF!</v>
      </c>
      <c r="E154" s="451"/>
      <c r="F154" s="184" t="e">
        <f>'3 квартал'!F154+#REF!</f>
        <v>#REF!</v>
      </c>
      <c r="G154" s="451"/>
      <c r="H154" s="451"/>
      <c r="I154" s="451"/>
      <c r="J154" s="451" t="e">
        <f>SUM(K154:O154)</f>
        <v>#REF!</v>
      </c>
      <c r="K154" s="451"/>
      <c r="L154" s="449" t="e">
        <f>#REF!+#REF!+#REF!</f>
        <v>#REF!</v>
      </c>
      <c r="M154" s="451">
        <v>0</v>
      </c>
      <c r="N154" s="451">
        <v>0</v>
      </c>
      <c r="O154" s="451">
        <v>0</v>
      </c>
    </row>
    <row r="155" spans="1:19" ht="12.75" customHeight="1" thickTop="1" thickBot="1">
      <c r="A155" s="863"/>
      <c r="B155" s="227" t="s">
        <v>120</v>
      </c>
      <c r="C155" s="186" t="s">
        <v>121</v>
      </c>
      <c r="D155" s="450" t="e">
        <f>SUM(E155:I155)</f>
        <v>#REF!</v>
      </c>
      <c r="E155" s="450" t="e">
        <f>E151</f>
        <v>#REF!</v>
      </c>
      <c r="F155" s="450" t="e">
        <f>F151</f>
        <v>#REF!</v>
      </c>
      <c r="G155" s="450" t="e">
        <f>G151</f>
        <v>#REF!</v>
      </c>
      <c r="H155" s="450" t="e">
        <f>H151</f>
        <v>#REF!</v>
      </c>
      <c r="I155" s="450" t="e">
        <f>I151</f>
        <v>#REF!</v>
      </c>
      <c r="J155" s="450" t="e">
        <f>SUM(K155:O155)</f>
        <v>#REF!</v>
      </c>
      <c r="K155" s="450" t="e">
        <f>K151</f>
        <v>#REF!</v>
      </c>
      <c r="L155" s="450" t="e">
        <f>L151</f>
        <v>#REF!</v>
      </c>
      <c r="M155" s="450" t="e">
        <f>M151</f>
        <v>#REF!</v>
      </c>
      <c r="N155" s="450" t="e">
        <f>N151</f>
        <v>#REF!</v>
      </c>
      <c r="O155" s="450" t="e">
        <f>O151</f>
        <v>#REF!</v>
      </c>
    </row>
    <row r="156" spans="1:19" ht="12.75" customHeight="1" thickTop="1" thickBot="1">
      <c r="A156" s="863"/>
      <c r="B156" s="227" t="s">
        <v>122</v>
      </c>
      <c r="C156" s="186" t="s">
        <v>123</v>
      </c>
      <c r="D156" s="455" t="e">
        <f>D157/1.18/D155</f>
        <v>#REF!</v>
      </c>
      <c r="E156" s="341"/>
      <c r="F156" s="341"/>
      <c r="G156" s="341"/>
      <c r="H156" s="341"/>
      <c r="I156" s="341"/>
      <c r="J156" s="455" t="e">
        <f>J157/1.18/J155</f>
        <v>#REF!</v>
      </c>
      <c r="K156" s="341"/>
      <c r="L156" s="341"/>
      <c r="M156" s="341"/>
      <c r="N156" s="341"/>
      <c r="O156" s="341"/>
    </row>
    <row r="157" spans="1:19" ht="12.75" customHeight="1" thickTop="1" thickBot="1">
      <c r="A157" s="863"/>
      <c r="B157" s="227" t="s">
        <v>124</v>
      </c>
      <c r="C157" s="186" t="s">
        <v>125</v>
      </c>
      <c r="D157" s="450" t="e">
        <f>SUM(E157:I157)</f>
        <v>#REF!</v>
      </c>
      <c r="E157" s="450" t="e">
        <f>E155*E156*1.18</f>
        <v>#REF!</v>
      </c>
      <c r="F157" s="450" t="e">
        <f>F155*F156*1.18</f>
        <v>#REF!</v>
      </c>
      <c r="G157" s="450" t="e">
        <f>G155*G156*1.18</f>
        <v>#REF!</v>
      </c>
      <c r="H157" s="450" t="e">
        <f>H155*H156*1.18</f>
        <v>#REF!</v>
      </c>
      <c r="I157" s="450" t="e">
        <f>I155*I156*1.18</f>
        <v>#REF!</v>
      </c>
      <c r="J157" s="450" t="e">
        <f>SUM(K157:O157)</f>
        <v>#REF!</v>
      </c>
      <c r="K157" s="450" t="e">
        <f>K155*K156*1.18</f>
        <v>#REF!</v>
      </c>
      <c r="L157" s="450" t="e">
        <f>L155*L156*1.18</f>
        <v>#REF!</v>
      </c>
      <c r="M157" s="450" t="e">
        <f>M155*M156*1.18</f>
        <v>#REF!</v>
      </c>
      <c r="N157" s="450" t="e">
        <f>N155*N156*1.18</f>
        <v>#REF!</v>
      </c>
      <c r="O157" s="450" t="e">
        <f>O155*O156*1.18</f>
        <v>#REF!</v>
      </c>
    </row>
    <row r="158" spans="1:19" ht="12.75" customHeight="1" thickTop="1" thickBot="1">
      <c r="A158" s="863"/>
      <c r="B158" s="229" t="s">
        <v>126</v>
      </c>
      <c r="C158" s="225" t="s">
        <v>127</v>
      </c>
      <c r="D158" s="451" t="e">
        <f>SUM(E158:I158)</f>
        <v>#REF!</v>
      </c>
      <c r="E158" s="184" t="e">
        <f>'3 квартал'!E158+#REF!</f>
        <v>#REF!</v>
      </c>
      <c r="F158" s="184" t="e">
        <f>'3 квартал'!F158+#REF!</f>
        <v>#REF!</v>
      </c>
      <c r="G158" s="184" t="e">
        <f>'3 квартал'!G158+#REF!</f>
        <v>#REF!</v>
      </c>
      <c r="H158" s="184" t="e">
        <f>'3 квартал'!H158+#REF!</f>
        <v>#REF!</v>
      </c>
      <c r="I158" s="184" t="e">
        <f>'3 квартал'!I158+#REF!</f>
        <v>#REF!</v>
      </c>
      <c r="J158" s="456" t="e">
        <f>SUM(K158:O158)</f>
        <v>#REF!</v>
      </c>
      <c r="K158" s="184" t="e">
        <f>'3 квартал'!K158+#REF!</f>
        <v>#REF!</v>
      </c>
      <c r="L158" s="184" t="e">
        <f>'3 квартал'!L158+#REF!</f>
        <v>#REF!</v>
      </c>
      <c r="M158" s="184" t="e">
        <f>'3 квартал'!M158+#REF!</f>
        <v>#REF!</v>
      </c>
      <c r="N158" s="184" t="e">
        <f>'3 квартал'!N158+#REF!</f>
        <v>#REF!</v>
      </c>
      <c r="O158" s="184" t="e">
        <f>'3 квартал'!O158+#REF!</f>
        <v>#REF!</v>
      </c>
    </row>
    <row r="159" spans="1:19" ht="12.75" customHeight="1" thickTop="1" thickBot="1">
      <c r="A159" s="863"/>
      <c r="B159" s="229" t="s">
        <v>128</v>
      </c>
      <c r="C159" s="225" t="s">
        <v>129</v>
      </c>
      <c r="D159" s="345" t="e">
        <f t="shared" ref="D159:O159" si="24">IF(D44=0,0,D158/D44*100)</f>
        <v>#REF!</v>
      </c>
      <c r="E159" s="345" t="e">
        <f t="shared" si="24"/>
        <v>#REF!</v>
      </c>
      <c r="F159" s="345" t="e">
        <f t="shared" si="24"/>
        <v>#REF!</v>
      </c>
      <c r="G159" s="345" t="e">
        <f t="shared" si="24"/>
        <v>#REF!</v>
      </c>
      <c r="H159" s="345" t="e">
        <f t="shared" si="24"/>
        <v>#REF!</v>
      </c>
      <c r="I159" s="345" t="e">
        <f t="shared" si="24"/>
        <v>#REF!</v>
      </c>
      <c r="J159" s="345" t="e">
        <f t="shared" si="24"/>
        <v>#REF!</v>
      </c>
      <c r="K159" s="345" t="e">
        <f>IF(K44=0,0,K158/K44*100)</f>
        <v>#REF!</v>
      </c>
      <c r="L159" s="345" t="e">
        <f t="shared" si="24"/>
        <v>#REF!</v>
      </c>
      <c r="M159" s="345" t="e">
        <f t="shared" si="24"/>
        <v>#REF!</v>
      </c>
      <c r="N159" s="345" t="e">
        <f t="shared" si="24"/>
        <v>#REF!</v>
      </c>
      <c r="O159" s="345" t="e">
        <f t="shared" si="24"/>
        <v>#REF!</v>
      </c>
      <c r="P159" s="25"/>
      <c r="Q159" s="25"/>
      <c r="R159" s="25"/>
      <c r="S159" s="25"/>
    </row>
    <row r="160" spans="1:19" ht="12.75" customHeight="1" thickTop="1" thickBot="1">
      <c r="A160" s="863"/>
      <c r="B160" s="230" t="s">
        <v>130</v>
      </c>
      <c r="C160" s="225" t="s">
        <v>131</v>
      </c>
      <c r="D160" s="345" t="e">
        <f t="shared" ref="D160:O160" si="25">IF(D45=0,0,D158/D45*100)</f>
        <v>#REF!</v>
      </c>
      <c r="E160" s="345" t="e">
        <f t="shared" si="25"/>
        <v>#REF!</v>
      </c>
      <c r="F160" s="345" t="e">
        <f t="shared" si="25"/>
        <v>#REF!</v>
      </c>
      <c r="G160" s="345" t="e">
        <f t="shared" si="25"/>
        <v>#REF!</v>
      </c>
      <c r="H160" s="345" t="e">
        <f t="shared" si="25"/>
        <v>#REF!</v>
      </c>
      <c r="I160" s="345" t="e">
        <f t="shared" si="25"/>
        <v>#REF!</v>
      </c>
      <c r="J160" s="345" t="e">
        <f t="shared" si="25"/>
        <v>#REF!</v>
      </c>
      <c r="K160" s="345" t="e">
        <f t="shared" si="25"/>
        <v>#REF!</v>
      </c>
      <c r="L160" s="345" t="e">
        <f t="shared" si="25"/>
        <v>#REF!</v>
      </c>
      <c r="M160" s="345" t="e">
        <f t="shared" si="25"/>
        <v>#REF!</v>
      </c>
      <c r="N160" s="345" t="e">
        <f t="shared" si="25"/>
        <v>#REF!</v>
      </c>
      <c r="O160" s="345" t="e">
        <f t="shared" si="25"/>
        <v>#REF!</v>
      </c>
      <c r="P160" s="25"/>
      <c r="Q160" s="25"/>
      <c r="R160" s="25"/>
      <c r="S160" s="25"/>
    </row>
    <row r="161" spans="1:15" ht="12.75" customHeight="1" thickTop="1" thickBot="1">
      <c r="A161" s="863"/>
      <c r="B161" s="231" t="s">
        <v>132</v>
      </c>
      <c r="C161" s="186" t="s">
        <v>133</v>
      </c>
      <c r="D161" s="450" t="e">
        <f>SUM(E161:I161)</f>
        <v>#REF!</v>
      </c>
      <c r="E161" s="251" t="e">
        <f>E151-E158</f>
        <v>#REF!</v>
      </c>
      <c r="F161" s="450" t="e">
        <f>F151-F158</f>
        <v>#REF!</v>
      </c>
      <c r="G161" s="450" t="e">
        <f>G151-G158</f>
        <v>#REF!</v>
      </c>
      <c r="H161" s="450" t="e">
        <f>H151-H158</f>
        <v>#REF!</v>
      </c>
      <c r="I161" s="450" t="e">
        <f>I151-I158</f>
        <v>#REF!</v>
      </c>
      <c r="J161" s="450" t="e">
        <f>SUM(K161:O161)</f>
        <v>#REF!</v>
      </c>
      <c r="K161" s="450" t="e">
        <f>K151-K158</f>
        <v>#REF!</v>
      </c>
      <c r="L161" s="450" t="e">
        <f>L151-L158</f>
        <v>#REF!</v>
      </c>
      <c r="M161" s="450" t="e">
        <f>M151-M158</f>
        <v>#REF!</v>
      </c>
      <c r="N161" s="450" t="e">
        <f>N151-N158</f>
        <v>#REF!</v>
      </c>
      <c r="O161" s="450" t="e">
        <f>O151-O158</f>
        <v>#REF!</v>
      </c>
    </row>
    <row r="162" spans="1:15" ht="12.75" customHeight="1" thickTop="1" thickBot="1">
      <c r="A162" s="863"/>
      <c r="B162" s="231" t="s">
        <v>134</v>
      </c>
      <c r="C162" s="186" t="s">
        <v>135</v>
      </c>
      <c r="D162" s="347" t="e">
        <f>IF(D44=0,0,D161/D44*100)</f>
        <v>#REF!</v>
      </c>
      <c r="E162" s="347" t="e">
        <f t="shared" ref="E162:I162" si="26">IF(E44=0,0,E161/E44*100)</f>
        <v>#REF!</v>
      </c>
      <c r="F162" s="347" t="e">
        <f t="shared" si="26"/>
        <v>#REF!</v>
      </c>
      <c r="G162" s="347" t="e">
        <f t="shared" si="26"/>
        <v>#REF!</v>
      </c>
      <c r="H162" s="347" t="e">
        <f t="shared" si="26"/>
        <v>#REF!</v>
      </c>
      <c r="I162" s="347" t="e">
        <f t="shared" si="26"/>
        <v>#REF!</v>
      </c>
      <c r="J162" s="347" t="e">
        <f>IF(J44=0,0,J161/J44*100)</f>
        <v>#REF!</v>
      </c>
      <c r="K162" s="347" t="e">
        <f>IF(K44=0,0,K161/K44*100)</f>
        <v>#REF!</v>
      </c>
      <c r="L162" s="347" t="e">
        <f t="shared" ref="L162:O162" si="27">IF(L44=0,0,L161/L44*100)</f>
        <v>#REF!</v>
      </c>
      <c r="M162" s="347" t="e">
        <f t="shared" si="27"/>
        <v>#REF!</v>
      </c>
      <c r="N162" s="347" t="e">
        <f t="shared" si="27"/>
        <v>#REF!</v>
      </c>
      <c r="O162" s="347" t="e">
        <f t="shared" si="27"/>
        <v>#REF!</v>
      </c>
    </row>
    <row r="163" spans="1:15" ht="12.75" customHeight="1" thickTop="1" thickBot="1">
      <c r="A163" s="863"/>
      <c r="B163" s="231" t="s">
        <v>136</v>
      </c>
      <c r="C163" s="186" t="s">
        <v>137</v>
      </c>
      <c r="D163" s="347" t="e">
        <f>IF(D45=0,0,D161/D45*100)</f>
        <v>#REF!</v>
      </c>
      <c r="E163" s="347" t="e">
        <f t="shared" ref="E163:O163" si="28">IF(E45=0,0,E161/E45*100)</f>
        <v>#REF!</v>
      </c>
      <c r="F163" s="347" t="e">
        <f t="shared" si="28"/>
        <v>#REF!</v>
      </c>
      <c r="G163" s="347" t="e">
        <f t="shared" si="28"/>
        <v>#REF!</v>
      </c>
      <c r="H163" s="347" t="e">
        <f t="shared" si="28"/>
        <v>#REF!</v>
      </c>
      <c r="I163" s="347" t="e">
        <f t="shared" si="28"/>
        <v>#REF!</v>
      </c>
      <c r="J163" s="347" t="e">
        <f t="shared" si="28"/>
        <v>#REF!</v>
      </c>
      <c r="K163" s="347" t="e">
        <f t="shared" si="28"/>
        <v>#REF!</v>
      </c>
      <c r="L163" s="347" t="e">
        <f t="shared" si="28"/>
        <v>#REF!</v>
      </c>
      <c r="M163" s="347" t="e">
        <f t="shared" si="28"/>
        <v>#REF!</v>
      </c>
      <c r="N163" s="347" t="e">
        <f t="shared" si="28"/>
        <v>#REF!</v>
      </c>
      <c r="O163" s="347" t="e">
        <f t="shared" si="28"/>
        <v>#REF!</v>
      </c>
    </row>
    <row r="164" spans="1:15">
      <c r="A164" s="94" t="s">
        <v>210</v>
      </c>
      <c r="J164" s="25"/>
      <c r="K164" s="25"/>
      <c r="L164" s="25"/>
      <c r="M164" s="25"/>
      <c r="N164" s="25"/>
      <c r="O164" s="25"/>
    </row>
    <row r="165" spans="1:15" ht="12.75" thickBot="1">
      <c r="J165" s="27"/>
      <c r="K165" s="82"/>
      <c r="L165" s="27"/>
      <c r="M165" s="27"/>
      <c r="N165" s="27"/>
      <c r="O165" s="27"/>
    </row>
    <row r="166" spans="1:15" ht="12.75" customHeight="1" thickBot="1">
      <c r="B166" s="854" t="s">
        <v>138</v>
      </c>
      <c r="C166" s="855" t="s">
        <v>139</v>
      </c>
      <c r="D166" s="851" t="s">
        <v>140</v>
      </c>
      <c r="E166" s="851"/>
      <c r="F166" s="851"/>
      <c r="G166" s="851"/>
      <c r="H166" s="851"/>
      <c r="I166" s="851"/>
      <c r="J166" s="851" t="s">
        <v>140</v>
      </c>
      <c r="K166" s="851"/>
      <c r="L166" s="851"/>
      <c r="M166" s="851"/>
      <c r="N166" s="851"/>
      <c r="O166" s="851"/>
    </row>
    <row r="167" spans="1:15">
      <c r="B167" s="854"/>
      <c r="C167" s="855"/>
      <c r="D167" s="28" t="s">
        <v>141</v>
      </c>
      <c r="E167" s="29"/>
      <c r="F167" s="29" t="s">
        <v>5</v>
      </c>
      <c r="G167" s="30" t="s">
        <v>74</v>
      </c>
      <c r="H167" s="30" t="s">
        <v>76</v>
      </c>
      <c r="I167" s="31" t="s">
        <v>8</v>
      </c>
      <c r="J167" s="28" t="s">
        <v>141</v>
      </c>
      <c r="K167" s="29"/>
      <c r="L167" s="29" t="s">
        <v>5</v>
      </c>
      <c r="M167" s="30" t="s">
        <v>74</v>
      </c>
      <c r="N167" s="30" t="s">
        <v>76</v>
      </c>
      <c r="O167" s="31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 t="e">
        <f>D174+D175+D176</f>
        <v>#REF!</v>
      </c>
      <c r="E169" s="35"/>
      <c r="F169" s="36" t="e">
        <f>F170+F174+F175+F176</f>
        <v>#REF!</v>
      </c>
      <c r="G169" s="36" t="e">
        <f>G170+G174+G175+G176</f>
        <v>#REF!</v>
      </c>
      <c r="H169" s="36" t="e">
        <f>H170+H174+H175+H176</f>
        <v>#REF!</v>
      </c>
      <c r="I169" s="37" t="e">
        <f>I170+I174+I175+I176</f>
        <v>#REF!</v>
      </c>
      <c r="J169" s="34" t="e">
        <f>J174+J175+J176</f>
        <v>#REF!</v>
      </c>
      <c r="K169" s="35"/>
      <c r="L169" s="36" t="e">
        <f>L170+L174+L175+L176</f>
        <v>#REF!</v>
      </c>
      <c r="M169" s="36" t="e">
        <f>M170+M174+M175+M176</f>
        <v>#REF!</v>
      </c>
      <c r="N169" s="36" t="e">
        <f>N170+N174+N175+N176</f>
        <v>#REF!</v>
      </c>
      <c r="O169" s="37" t="e">
        <f>O170+O174+O175+O176</f>
        <v>#REF!</v>
      </c>
    </row>
    <row r="170" spans="1:15" ht="12.75">
      <c r="B170" s="38" t="s">
        <v>12</v>
      </c>
      <c r="C170" s="39" t="s">
        <v>143</v>
      </c>
      <c r="D170" s="675" t="e">
        <f t="shared" ref="D170:D177" si="29">SUM(F170:I170)</f>
        <v>#REF!</v>
      </c>
      <c r="E170" s="676"/>
      <c r="F170" s="676"/>
      <c r="G170" s="677" t="e">
        <f>SUM(G171:G173)</f>
        <v>#REF!</v>
      </c>
      <c r="H170" s="677" t="e">
        <f>SUM(H171:H173)</f>
        <v>#REF!</v>
      </c>
      <c r="I170" s="678" t="e">
        <f>SUM(I171:I173)</f>
        <v>#REF!</v>
      </c>
      <c r="J170" s="675" t="e">
        <f t="shared" ref="J170:J177" si="30">SUM(L170:O170)</f>
        <v>#REF!</v>
      </c>
      <c r="K170" s="676"/>
      <c r="L170" s="676"/>
      <c r="M170" s="677" t="e">
        <f>SUM(M171:M173)</f>
        <v>#REF!</v>
      </c>
      <c r="N170" s="677" t="e">
        <f>SUM(N171:N173)</f>
        <v>#REF!</v>
      </c>
      <c r="O170" s="678" t="e">
        <f>SUM(O171:O173)</f>
        <v>#REF!</v>
      </c>
    </row>
    <row r="171" spans="1:15" ht="12.75">
      <c r="B171" s="40" t="s">
        <v>144</v>
      </c>
      <c r="C171" s="41" t="s">
        <v>145</v>
      </c>
      <c r="D171" s="42" t="e">
        <f t="shared" si="29"/>
        <v>#REF!</v>
      </c>
      <c r="E171" s="43"/>
      <c r="F171" s="44"/>
      <c r="G171" s="45" t="e">
        <f>G31-G49-G61-G73-G85-G97-G78-G109-G121-G54-G66-G90-G102-G114-G126</f>
        <v>#REF!</v>
      </c>
      <c r="H171" s="45" t="e">
        <f>H31-H49-H61-H73-H85-H97-H78-H54-H109-H66-H90-H102-H114-H121-H126</f>
        <v>#REF!</v>
      </c>
      <c r="I171" s="46"/>
      <c r="J171" s="42" t="e">
        <f t="shared" si="30"/>
        <v>#REF!</v>
      </c>
      <c r="K171" s="43"/>
      <c r="L171" s="44"/>
      <c r="M171" s="45" t="e">
        <f>M31-M49-M61-M73-M85-M97-M78-M109-M121-M54-M66-M90-M102-M114-M126</f>
        <v>#REF!</v>
      </c>
      <c r="N171" s="45" t="e">
        <f>N31-N49-N61-N73-N85-N97-N78-N54-N109-N66-N90-N102-N114-N121-N126</f>
        <v>#REF!</v>
      </c>
      <c r="O171" s="46"/>
    </row>
    <row r="172" spans="1:15" ht="12.75">
      <c r="B172" s="47" t="s">
        <v>146</v>
      </c>
      <c r="C172" s="48" t="s">
        <v>6</v>
      </c>
      <c r="D172" s="42" t="e">
        <f t="shared" si="29"/>
        <v>#REF!</v>
      </c>
      <c r="E172" s="43"/>
      <c r="F172" s="44"/>
      <c r="G172" s="49"/>
      <c r="H172" s="45" t="e">
        <f>H32-H50-H62-H74-H86-H98-H110-H55-H67-H79-H91-H103-H115-H122-H127</f>
        <v>#REF!</v>
      </c>
      <c r="I172" s="50">
        <f>I32-I50-I55-I62-I67-I74-I79-I86-I91-I98-I103-I110-I115-I122-I127</f>
        <v>0</v>
      </c>
      <c r="J172" s="42" t="e">
        <f t="shared" si="30"/>
        <v>#REF!</v>
      </c>
      <c r="K172" s="43"/>
      <c r="L172" s="44"/>
      <c r="M172" s="49"/>
      <c r="N172" s="45" t="e">
        <f>N32-N50-N62-N74-N86-N98-N110-N55-N67-N79-N91-N103-N115-N122-N127</f>
        <v>#REF!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 t="e">
        <f t="shared" si="29"/>
        <v>#REF!</v>
      </c>
      <c r="E173" s="54"/>
      <c r="F173" s="55"/>
      <c r="G173" s="56"/>
      <c r="H173" s="56"/>
      <c r="I173" s="57" t="e">
        <f>I33-I51-I87-I75-I99-I111-I56-I63-I68-I80-I92-I104-I116-I123-I128</f>
        <v>#REF!</v>
      </c>
      <c r="J173" s="53" t="e">
        <f t="shared" si="30"/>
        <v>#REF!</v>
      </c>
      <c r="K173" s="54"/>
      <c r="L173" s="55"/>
      <c r="M173" s="56"/>
      <c r="N173" s="56"/>
      <c r="O173" s="57" t="e">
        <f>O33-O51-O87-O75-O99-O111-O56-O63-O68-O80-O92-O104-O116-O123-O128</f>
        <v>#REF!</v>
      </c>
    </row>
    <row r="174" spans="1:15" ht="12.75">
      <c r="B174" s="58" t="s">
        <v>14</v>
      </c>
      <c r="C174" s="39" t="s">
        <v>148</v>
      </c>
      <c r="D174" s="110" t="e">
        <f t="shared" si="29"/>
        <v>#REF!</v>
      </c>
      <c r="E174" s="111"/>
      <c r="F174" s="111" t="e">
        <f>F28+E28</f>
        <v>#REF!</v>
      </c>
      <c r="G174" s="112" t="e">
        <f>G28</f>
        <v>#REF!</v>
      </c>
      <c r="H174" s="112" t="e">
        <f>H28</f>
        <v>#REF!</v>
      </c>
      <c r="I174" s="113">
        <f>I28</f>
        <v>0</v>
      </c>
      <c r="J174" s="110" t="e">
        <f t="shared" si="30"/>
        <v>#REF!</v>
      </c>
      <c r="K174" s="111"/>
      <c r="L174" s="111" t="e">
        <f>L28+K28</f>
        <v>#REF!</v>
      </c>
      <c r="M174" s="112" t="e">
        <f>M28</f>
        <v>#REF!</v>
      </c>
      <c r="N174" s="112" t="e">
        <f>N28</f>
        <v>#REF!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 t="e">
        <f t="shared" si="29"/>
        <v>#REF!</v>
      </c>
      <c r="E175" s="124"/>
      <c r="F175" s="125" t="e">
        <f>F23+F24+F25+E23+E24+E25</f>
        <v>#REF!</v>
      </c>
      <c r="G175" s="125" t="e">
        <f>G23+G24+G25</f>
        <v>#REF!</v>
      </c>
      <c r="H175" s="125" t="e">
        <f>H23+H24+H25</f>
        <v>#REF!</v>
      </c>
      <c r="I175" s="126" t="e">
        <f>I23+I24+I25</f>
        <v>#REF!</v>
      </c>
      <c r="J175" s="123" t="e">
        <f t="shared" si="30"/>
        <v>#REF!</v>
      </c>
      <c r="K175" s="124"/>
      <c r="L175" s="125" t="e">
        <f>L23+L24+L25+K23+K24+K25</f>
        <v>#REF!</v>
      </c>
      <c r="M175" s="125" t="e">
        <f>M23+M24+M25</f>
        <v>#REF!</v>
      </c>
      <c r="N175" s="125" t="e">
        <f>N23+N24+N25</f>
        <v>#REF!</v>
      </c>
      <c r="O175" s="126" t="e">
        <f>O23+O24+O25</f>
        <v>#REF!</v>
      </c>
    </row>
    <row r="176" spans="1:15" ht="13.5" thickBot="1">
      <c r="B176" s="61" t="s">
        <v>20</v>
      </c>
      <c r="C176" s="62" t="s">
        <v>150</v>
      </c>
      <c r="D176" s="129" t="e">
        <f t="shared" si="29"/>
        <v>#REF!</v>
      </c>
      <c r="E176" s="130"/>
      <c r="F176" s="131">
        <f>F29+E29</f>
        <v>0</v>
      </c>
      <c r="G176" s="131" t="e">
        <f>G29</f>
        <v>#REF!</v>
      </c>
      <c r="H176" s="131">
        <f>H29</f>
        <v>0</v>
      </c>
      <c r="I176" s="132">
        <f>I29</f>
        <v>0</v>
      </c>
      <c r="J176" s="129" t="e">
        <f t="shared" si="30"/>
        <v>#REF!</v>
      </c>
      <c r="K176" s="130"/>
      <c r="L176" s="131">
        <f>L29+K29</f>
        <v>0</v>
      </c>
      <c r="M176" s="131" t="e">
        <f>M29</f>
        <v>#REF!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 t="e">
        <f t="shared" si="29"/>
        <v>#REF!</v>
      </c>
      <c r="E177" s="136"/>
      <c r="F177" s="136" t="e">
        <f>F169-F180-G171-H171</f>
        <v>#REF!</v>
      </c>
      <c r="G177" s="136" t="e">
        <f>G169-G180-H172-I172</f>
        <v>#REF!</v>
      </c>
      <c r="H177" s="136" t="e">
        <f>H169-H180-I173</f>
        <v>#REF!</v>
      </c>
      <c r="I177" s="137" t="e">
        <f>I169-I180</f>
        <v>#REF!</v>
      </c>
      <c r="J177" s="135" t="e">
        <f t="shared" si="30"/>
        <v>#REF!</v>
      </c>
      <c r="K177" s="136"/>
      <c r="L177" s="136" t="e">
        <f>L169-L180-M171-N171</f>
        <v>#REF!</v>
      </c>
      <c r="M177" s="136" t="e">
        <f>M169-M180-N172-O172</f>
        <v>#REF!</v>
      </c>
      <c r="N177" s="136" t="e">
        <f>N169-N180-O173</f>
        <v>#REF!</v>
      </c>
      <c r="O177" s="137" t="e">
        <f>O169-O180</f>
        <v>#REF!</v>
      </c>
    </row>
    <row r="178" spans="1:15" ht="13.5" thickBot="1">
      <c r="B178" s="64"/>
      <c r="C178" s="65" t="s">
        <v>152</v>
      </c>
      <c r="D178" s="441" t="e">
        <f>IF(D169=0,0,D177/D169*100)</f>
        <v>#REF!</v>
      </c>
      <c r="E178" s="140"/>
      <c r="F178" s="441" t="e">
        <f t="shared" ref="F178:I178" si="31">IF(F169=0,0,F177/F169*100)</f>
        <v>#REF!</v>
      </c>
      <c r="G178" s="441" t="e">
        <f t="shared" si="31"/>
        <v>#REF!</v>
      </c>
      <c r="H178" s="441" t="e">
        <f t="shared" si="31"/>
        <v>#REF!</v>
      </c>
      <c r="I178" s="441" t="e">
        <f t="shared" si="31"/>
        <v>#REF!</v>
      </c>
      <c r="J178" s="441" t="e">
        <f>IF(J169=0,0,J177/J169*100)</f>
        <v>#REF!</v>
      </c>
      <c r="K178" s="140"/>
      <c r="L178" s="441" t="e">
        <f t="shared" ref="L178:O178" si="32">IF(L169=0,0,L177/L169*100)</f>
        <v>#REF!</v>
      </c>
      <c r="M178" s="441" t="e">
        <f t="shared" si="32"/>
        <v>#REF!</v>
      </c>
      <c r="N178" s="441" t="e">
        <f t="shared" si="32"/>
        <v>#REF!</v>
      </c>
      <c r="O178" s="441" t="e">
        <f t="shared" si="32"/>
        <v>#REF!</v>
      </c>
    </row>
    <row r="179" spans="1:15" ht="26.25" thickBot="1">
      <c r="B179" s="66" t="s">
        <v>38</v>
      </c>
      <c r="C179" s="67" t="s">
        <v>153</v>
      </c>
      <c r="D179" s="143">
        <f t="shared" ref="D179:D184" si="33">SUM(F179:I179)</f>
        <v>0</v>
      </c>
      <c r="E179" s="144"/>
      <c r="F179" s="144"/>
      <c r="G179" s="145"/>
      <c r="H179" s="145"/>
      <c r="I179" s="146"/>
      <c r="J179" s="143">
        <f t="shared" ref="J179:J184" si="34">SUM(L179:O179)</f>
        <v>0</v>
      </c>
      <c r="K179" s="144"/>
      <c r="L179" s="144"/>
      <c r="M179" s="145"/>
      <c r="N179" s="145"/>
      <c r="O179" s="146"/>
    </row>
    <row r="180" spans="1:15" s="83" customFormat="1" ht="13.5" thickBot="1">
      <c r="B180" s="147" t="s">
        <v>52</v>
      </c>
      <c r="C180" s="148" t="s">
        <v>154</v>
      </c>
      <c r="D180" s="143" t="e">
        <f t="shared" si="33"/>
        <v>#REF!</v>
      </c>
      <c r="E180" s="144"/>
      <c r="F180" s="682" t="e">
        <f>F143+E143</f>
        <v>#REF!</v>
      </c>
      <c r="G180" s="682" t="e">
        <f>G143+G194</f>
        <v>#REF!</v>
      </c>
      <c r="H180" s="682" t="e">
        <f>H143+H194</f>
        <v>#REF!</v>
      </c>
      <c r="I180" s="683" t="e">
        <f>I143+I194</f>
        <v>#REF!</v>
      </c>
      <c r="J180" s="143" t="e">
        <f t="shared" si="34"/>
        <v>#REF!</v>
      </c>
      <c r="K180" s="144"/>
      <c r="L180" s="682" t="e">
        <f>L143+K143</f>
        <v>#REF!</v>
      </c>
      <c r="M180" s="682" t="e">
        <f>M143+M194</f>
        <v>#REF!</v>
      </c>
      <c r="N180" s="682" t="e">
        <f>N143+N194</f>
        <v>#REF!</v>
      </c>
      <c r="O180" s="683" t="e">
        <f>O143+O194</f>
        <v>#REF!</v>
      </c>
    </row>
    <row r="181" spans="1:15" ht="12.75">
      <c r="B181" s="70" t="s">
        <v>54</v>
      </c>
      <c r="C181" s="71" t="s">
        <v>155</v>
      </c>
      <c r="D181" s="151">
        <f t="shared" si="33"/>
        <v>0</v>
      </c>
      <c r="E181" s="152"/>
      <c r="F181" s="152"/>
      <c r="G181" s="153"/>
      <c r="H181" s="153"/>
      <c r="I181" s="154"/>
      <c r="J181" s="151">
        <f t="shared" si="34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3"/>
        <v>0</v>
      </c>
      <c r="E182" s="158"/>
      <c r="F182" s="159"/>
      <c r="G182" s="159"/>
      <c r="H182" s="159"/>
      <c r="I182" s="160"/>
      <c r="J182" s="157">
        <f t="shared" si="34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3"/>
        <v>0</v>
      </c>
      <c r="E183" s="164"/>
      <c r="F183" s="164"/>
      <c r="G183" s="165"/>
      <c r="H183" s="165"/>
      <c r="I183" s="166"/>
      <c r="J183" s="163">
        <f t="shared" si="34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3"/>
        <v>0</v>
      </c>
      <c r="E184" s="111"/>
      <c r="F184" s="111"/>
      <c r="G184" s="112"/>
      <c r="H184" s="112"/>
      <c r="I184" s="113"/>
      <c r="J184" s="110">
        <f t="shared" si="34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8" spans="1:15" ht="12.75" customHeight="1">
      <c r="A188" s="832" t="s">
        <v>211</v>
      </c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523"/>
      <c r="B194" s="524"/>
      <c r="C194" s="523" t="s">
        <v>193</v>
      </c>
      <c r="D194" s="523"/>
      <c r="E194" s="520"/>
      <c r="F194" s="483"/>
      <c r="G194" s="513" t="e">
        <f>'3 квартал'!G194+#REF!</f>
        <v>#REF!</v>
      </c>
      <c r="H194" s="513" t="e">
        <f>'3 квартал'!H194+#REF!</f>
        <v>#REF!</v>
      </c>
      <c r="I194" s="513" t="e">
        <f>'3 квартал'!I194+#REF!</f>
        <v>#REF!</v>
      </c>
      <c r="J194" s="588"/>
      <c r="K194" s="523"/>
      <c r="L194" s="523"/>
      <c r="M194" s="523"/>
      <c r="N194" s="528" t="e">
        <f>#REF!+#REF!+#REF!</f>
        <v>#REF!</v>
      </c>
      <c r="O194" s="528" t="e">
        <f>#REF!+#REF!+#REF!</f>
        <v>#REF!</v>
      </c>
    </row>
    <row r="195" spans="1:15">
      <c r="A195" s="523"/>
      <c r="B195" s="524"/>
      <c r="C195" s="523" t="s">
        <v>196</v>
      </c>
      <c r="D195" s="523"/>
      <c r="E195" s="520"/>
      <c r="F195" s="513" t="e">
        <f>'3 квартал'!F195+#REF!</f>
        <v>#REF!</v>
      </c>
      <c r="G195" s="483"/>
      <c r="H195" s="483"/>
      <c r="I195" s="483"/>
      <c r="J195" s="588"/>
      <c r="K195" s="523"/>
      <c r="L195" s="528" t="e">
        <f>#REF!+#REF!+#REF!</f>
        <v>#REF!</v>
      </c>
      <c r="M195" s="523"/>
      <c r="N195" s="523"/>
      <c r="O195" s="523"/>
    </row>
  </sheetData>
  <mergeCells count="25">
    <mergeCell ref="D166:I166"/>
    <mergeCell ref="J166:O166"/>
    <mergeCell ref="A188:O188"/>
    <mergeCell ref="A6:A29"/>
    <mergeCell ref="A30:A43"/>
    <mergeCell ref="A46:A150"/>
    <mergeCell ref="A151:A163"/>
    <mergeCell ref="B166:B167"/>
    <mergeCell ref="C166:C167"/>
    <mergeCell ref="O4:O5"/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I4:I5"/>
    <mergeCell ref="J4:J5"/>
    <mergeCell ref="K4:L4"/>
    <mergeCell ref="M4:M5"/>
    <mergeCell ref="N4:N5"/>
  </mergeCells>
  <pageMargins left="0.86614173228346458" right="0.27559055118110237" top="0.55118110236220474" bottom="0.35433070866141736" header="0.51181102362204722" footer="0.51181102362204722"/>
  <pageSetup paperSize="9" scale="63" firstPageNumber="0" orientation="landscape" horizontalDpi="300" verticalDpi="300" r:id="rId1"/>
  <headerFooter alignWithMargins="0"/>
  <rowBreaks count="3" manualBreakCount="3">
    <brk id="64" max="14" man="1"/>
    <brk id="127" max="14" man="1"/>
    <brk id="190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90" zoomScaleSheetLayoutView="90" workbookViewId="0">
      <pane xSplit="3" ySplit="2" topLeftCell="D3" activePane="bottomRight" state="frozen"/>
      <selection pane="topRight" activeCell="D1" sqref="D1"/>
      <selection pane="bottomLeft" activeCell="A63" sqref="A63"/>
      <selection pane="bottomRight" activeCell="K33" sqref="K33"/>
    </sheetView>
  </sheetViews>
  <sheetFormatPr defaultRowHeight="12"/>
  <cols>
    <col min="1" max="1" width="3" style="763" customWidth="1"/>
    <col min="2" max="2" width="6.140625" style="764" customWidth="1"/>
    <col min="3" max="3" width="67.28515625" style="763" customWidth="1"/>
    <col min="4" max="4" width="12.42578125" style="763" hidden="1" customWidth="1"/>
    <col min="5" max="5" width="10.5703125" style="763" hidden="1" customWidth="1"/>
    <col min="6" max="6" width="13" style="763" hidden="1" customWidth="1"/>
    <col min="7" max="7" width="11.140625" style="763" hidden="1" customWidth="1"/>
    <col min="8" max="8" width="11.85546875" style="763" hidden="1" customWidth="1"/>
    <col min="9" max="9" width="12.5703125" style="763" hidden="1" customWidth="1"/>
    <col min="10" max="10" width="13.28515625" style="763" customWidth="1"/>
    <col min="11" max="11" width="11.140625" style="763" customWidth="1"/>
    <col min="12" max="15" width="12.7109375" style="763" customWidth="1"/>
    <col min="16" max="16" width="16.140625" style="763" customWidth="1"/>
    <col min="17" max="17" width="10" style="763" customWidth="1"/>
    <col min="18" max="16384" width="9.140625" style="763"/>
  </cols>
  <sheetData>
    <row r="1" spans="1:15" ht="38.25" customHeight="1">
      <c r="A1" s="875" t="s">
        <v>256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</row>
    <row r="2" spans="1:15" ht="6.75" customHeight="1" thickBot="1"/>
    <row r="3" spans="1:15" ht="12.75" thickBot="1">
      <c r="A3" s="874"/>
      <c r="B3" s="876" t="s">
        <v>0</v>
      </c>
      <c r="C3" s="877" t="s">
        <v>1</v>
      </c>
      <c r="D3" s="878" t="s">
        <v>2</v>
      </c>
      <c r="E3" s="878"/>
      <c r="F3" s="878"/>
      <c r="G3" s="878"/>
      <c r="H3" s="878"/>
      <c r="I3" s="878"/>
      <c r="J3" s="878" t="s">
        <v>3</v>
      </c>
      <c r="K3" s="878"/>
      <c r="L3" s="878"/>
      <c r="M3" s="878"/>
      <c r="N3" s="878"/>
      <c r="O3" s="878"/>
    </row>
    <row r="4" spans="1:15" ht="13.5" thickTop="1" thickBot="1">
      <c r="A4" s="874"/>
      <c r="B4" s="876"/>
      <c r="C4" s="877"/>
      <c r="D4" s="879" t="s">
        <v>4</v>
      </c>
      <c r="E4" s="880" t="s">
        <v>5</v>
      </c>
      <c r="F4" s="880"/>
      <c r="G4" s="881" t="s">
        <v>6</v>
      </c>
      <c r="H4" s="881" t="s">
        <v>7</v>
      </c>
      <c r="I4" s="882" t="s">
        <v>8</v>
      </c>
      <c r="J4" s="879" t="s">
        <v>4</v>
      </c>
      <c r="K4" s="880" t="s">
        <v>5</v>
      </c>
      <c r="L4" s="880"/>
      <c r="M4" s="881" t="s">
        <v>6</v>
      </c>
      <c r="N4" s="881" t="s">
        <v>7</v>
      </c>
      <c r="O4" s="882" t="s">
        <v>8</v>
      </c>
    </row>
    <row r="5" spans="1:15" ht="13.5" thickTop="1" thickBot="1">
      <c r="A5" s="874"/>
      <c r="B5" s="876"/>
      <c r="C5" s="877"/>
      <c r="D5" s="879"/>
      <c r="E5" s="765">
        <v>220</v>
      </c>
      <c r="F5" s="765">
        <v>110</v>
      </c>
      <c r="G5" s="881"/>
      <c r="H5" s="881"/>
      <c r="I5" s="882"/>
      <c r="J5" s="879"/>
      <c r="K5" s="766">
        <v>220</v>
      </c>
      <c r="L5" s="767">
        <v>110</v>
      </c>
      <c r="M5" s="881"/>
      <c r="N5" s="881"/>
      <c r="O5" s="882"/>
    </row>
    <row r="6" spans="1:15" ht="13.5" thickTop="1" thickBot="1">
      <c r="A6" s="872" t="s">
        <v>9</v>
      </c>
      <c r="B6" s="768" t="s">
        <v>10</v>
      </c>
      <c r="C6" s="768" t="s">
        <v>11</v>
      </c>
      <c r="D6" s="769" t="e">
        <f>SUM(#REF!,#REF!,#REF!)</f>
        <v>#REF!</v>
      </c>
      <c r="E6" s="769" t="e">
        <f>SUM(#REF!,#REF!,#REF!)</f>
        <v>#REF!</v>
      </c>
      <c r="F6" s="769" t="e">
        <f>SUM(#REF!,#REF!,#REF!)</f>
        <v>#REF!</v>
      </c>
      <c r="G6" s="769" t="e">
        <f>SUM(#REF!,#REF!,#REF!)</f>
        <v>#REF!</v>
      </c>
      <c r="H6" s="769" t="e">
        <f>SUM(#REF!,#REF!,#REF!)</f>
        <v>#REF!</v>
      </c>
      <c r="I6" s="769" t="e">
        <f>SUM(#REF!,#REF!,#REF!)</f>
        <v>#REF!</v>
      </c>
      <c r="J6" s="801">
        <v>5032237.0939999996</v>
      </c>
      <c r="K6" s="801">
        <v>0</v>
      </c>
      <c r="L6" s="801">
        <v>4217756.6069999998</v>
      </c>
      <c r="M6" s="801">
        <v>534303.49300000002</v>
      </c>
      <c r="N6" s="801">
        <v>280021.40699999995</v>
      </c>
      <c r="O6" s="801">
        <v>155.58699999999999</v>
      </c>
    </row>
    <row r="7" spans="1:15" ht="13.5" thickTop="1" thickBot="1">
      <c r="A7" s="872"/>
      <c r="B7" s="768" t="s">
        <v>26</v>
      </c>
      <c r="C7" s="768" t="s">
        <v>27</v>
      </c>
      <c r="D7" s="769" t="e">
        <f>SUM(#REF!,#REF!)</f>
        <v>#REF!</v>
      </c>
      <c r="E7" s="774" t="e">
        <f>SUM(#REF!,#REF!)</f>
        <v>#REF!</v>
      </c>
      <c r="F7" s="774" t="e">
        <f>SUM(#REF!,#REF!)</f>
        <v>#REF!</v>
      </c>
      <c r="G7" s="774" t="e">
        <f>SUM(#REF!,#REF!)</f>
        <v>#REF!</v>
      </c>
      <c r="H7" s="774" t="e">
        <f>SUM(#REF!,#REF!)</f>
        <v>#REF!</v>
      </c>
      <c r="I7" s="774" t="e">
        <f>SUM(#REF!,#REF!)</f>
        <v>#REF!</v>
      </c>
      <c r="J7" s="801">
        <v>1503669.4780000001</v>
      </c>
      <c r="K7" s="802">
        <v>0</v>
      </c>
      <c r="L7" s="802">
        <v>1496121.4909999999</v>
      </c>
      <c r="M7" s="802">
        <v>6954.4290000000001</v>
      </c>
      <c r="N7" s="802">
        <v>482.78899999999999</v>
      </c>
      <c r="O7" s="802">
        <v>110.76899999999999</v>
      </c>
    </row>
    <row r="8" spans="1:15" ht="13.5" thickTop="1" thickBot="1">
      <c r="A8" s="872"/>
      <c r="B8" s="775" t="s">
        <v>38</v>
      </c>
      <c r="C8" s="775" t="s">
        <v>39</v>
      </c>
      <c r="D8" s="776" t="e">
        <f t="shared" ref="D8" si="0">SUM(E8:I8)</f>
        <v>#REF!</v>
      </c>
      <c r="E8" s="776" t="e">
        <f>SUM(#REF!,#REF!,#REF!)</f>
        <v>#REF!</v>
      </c>
      <c r="F8" s="776" t="e">
        <f>SUM(#REF!,#REF!,#REF!)</f>
        <v>#REF!</v>
      </c>
      <c r="G8" s="776" t="e">
        <f>SUM(#REF!,#REF!,#REF!)</f>
        <v>#REF!</v>
      </c>
      <c r="H8" s="776" t="e">
        <f>SUM(#REF!,#REF!,#REF!)</f>
        <v>#REF!</v>
      </c>
      <c r="I8" s="776" t="e">
        <f>SUM(#REF!,#REF!,#REF!)</f>
        <v>#REF!</v>
      </c>
      <c r="J8" s="803">
        <v>3528567.6159999995</v>
      </c>
      <c r="K8" s="803">
        <v>0</v>
      </c>
      <c r="L8" s="803">
        <v>2721635.1159999999</v>
      </c>
      <c r="M8" s="803">
        <v>527349.06400000001</v>
      </c>
      <c r="N8" s="803">
        <v>279538.61799999996</v>
      </c>
      <c r="O8" s="803">
        <v>44.817999999999998</v>
      </c>
    </row>
    <row r="9" spans="1:15" ht="13.5" thickTop="1" thickBot="1">
      <c r="A9" s="872" t="s">
        <v>51</v>
      </c>
      <c r="B9" s="768" t="s">
        <v>52</v>
      </c>
      <c r="C9" s="768" t="s">
        <v>53</v>
      </c>
      <c r="D9" s="769" t="e">
        <f>SUM(F9:I9)</f>
        <v>#REF!</v>
      </c>
      <c r="E9" s="769"/>
      <c r="F9" s="769" t="e">
        <f>SUM(#REF!)</f>
        <v>#REF!</v>
      </c>
      <c r="G9" s="769" t="e">
        <f>SUM(#REF!)</f>
        <v>#REF!</v>
      </c>
      <c r="H9" s="769" t="e">
        <f>SUM(#REF!)</f>
        <v>#REF!</v>
      </c>
      <c r="I9" s="769" t="e">
        <f>SUM(#REF!)</f>
        <v>#REF!</v>
      </c>
      <c r="J9" s="801">
        <v>5020753.3886000002</v>
      </c>
      <c r="K9" s="801">
        <v>0</v>
      </c>
      <c r="L9" s="801">
        <v>0</v>
      </c>
      <c r="M9" s="801">
        <v>558823.68700000003</v>
      </c>
      <c r="N9" s="801">
        <v>2640678.2796</v>
      </c>
      <c r="O9" s="801">
        <v>1821251.422</v>
      </c>
    </row>
    <row r="10" spans="1:15" ht="13.5" thickTop="1" thickBot="1">
      <c r="A10" s="872"/>
      <c r="B10" s="768" t="s">
        <v>60</v>
      </c>
      <c r="C10" s="768" t="s">
        <v>61</v>
      </c>
      <c r="D10" s="769" t="e">
        <f t="shared" ref="D10:D11" si="1">SUM(E10:I10)</f>
        <v>#REF!</v>
      </c>
      <c r="E10" s="769"/>
      <c r="F10" s="769" t="e">
        <f>SUM(#REF!)</f>
        <v>#REF!</v>
      </c>
      <c r="G10" s="769" t="e">
        <f>SUM(#REF!)</f>
        <v>#REF!</v>
      </c>
      <c r="H10" s="769" t="e">
        <f>SUM(#REF!)</f>
        <v>#REF!</v>
      </c>
      <c r="I10" s="769" t="e">
        <f>SUM(#REF!)</f>
        <v>#REF!</v>
      </c>
      <c r="J10" s="801">
        <v>5020753.3886000002</v>
      </c>
      <c r="K10" s="801">
        <v>0</v>
      </c>
      <c r="L10" s="801">
        <v>2161871.8215999999</v>
      </c>
      <c r="M10" s="801">
        <v>1037630.145</v>
      </c>
      <c r="N10" s="801">
        <v>1821251.422</v>
      </c>
      <c r="O10" s="801">
        <v>0</v>
      </c>
    </row>
    <row r="11" spans="1:15" ht="13.5" thickTop="1" thickBot="1">
      <c r="A11" s="872"/>
      <c r="B11" s="775" t="s">
        <v>70</v>
      </c>
      <c r="C11" s="775" t="s">
        <v>71</v>
      </c>
      <c r="D11" s="776" t="e">
        <f t="shared" si="1"/>
        <v>#REF!</v>
      </c>
      <c r="E11" s="776"/>
      <c r="F11" s="776" t="e">
        <f>SUM(#REF!)</f>
        <v>#REF!</v>
      </c>
      <c r="G11" s="776" t="e">
        <f>SUM(#REF!)</f>
        <v>#REF!</v>
      </c>
      <c r="H11" s="776" t="e">
        <f>SUM(#REF!)</f>
        <v>#REF!</v>
      </c>
      <c r="I11" s="776" t="e">
        <f>SUM(#REF!)</f>
        <v>#REF!</v>
      </c>
      <c r="J11" s="803">
        <v>0</v>
      </c>
      <c r="K11" s="801">
        <v>0</v>
      </c>
      <c r="L11" s="803">
        <v>-2161871.8215999999</v>
      </c>
      <c r="M11" s="803">
        <v>-478806.45799999998</v>
      </c>
      <c r="N11" s="803">
        <v>819426.85759999999</v>
      </c>
      <c r="O11" s="803">
        <v>1821251.422</v>
      </c>
    </row>
    <row r="12" spans="1:15" ht="13.5" thickTop="1" thickBot="1">
      <c r="A12" s="777"/>
      <c r="B12" s="778" t="s">
        <v>78</v>
      </c>
      <c r="C12" s="778" t="s">
        <v>79</v>
      </c>
      <c r="D12" s="779" t="e">
        <f>D8</f>
        <v>#REF!</v>
      </c>
      <c r="E12" s="779" t="e">
        <f>E8+E9</f>
        <v>#REF!</v>
      </c>
      <c r="F12" s="779" t="e">
        <f>F8+F9</f>
        <v>#REF!</v>
      </c>
      <c r="G12" s="779" t="e">
        <f>G8+G9</f>
        <v>#REF!</v>
      </c>
      <c r="H12" s="779" t="e">
        <f>H8+H9</f>
        <v>#REF!</v>
      </c>
      <c r="I12" s="779" t="e">
        <f>I8+I9</f>
        <v>#REF!</v>
      </c>
      <c r="J12" s="803">
        <v>3528567.6159999995</v>
      </c>
      <c r="K12" s="803">
        <v>0</v>
      </c>
      <c r="L12" s="803">
        <v>2721635.1159999999</v>
      </c>
      <c r="M12" s="803">
        <v>1086172.7510000002</v>
      </c>
      <c r="N12" s="803">
        <v>2920216.8975999998</v>
      </c>
      <c r="O12" s="803">
        <v>1821296.24</v>
      </c>
    </row>
    <row r="13" spans="1:15" ht="13.5" thickTop="1" thickBot="1">
      <c r="A13" s="777"/>
      <c r="B13" s="775" t="s">
        <v>80</v>
      </c>
      <c r="C13" s="775" t="s">
        <v>81</v>
      </c>
      <c r="D13" s="776" t="e">
        <f>D12</f>
        <v>#REF!</v>
      </c>
      <c r="E13" s="776" t="e">
        <f>E15+E19+E10</f>
        <v>#REF!</v>
      </c>
      <c r="F13" s="776" t="e">
        <f>F15+F19+F10-#REF!-#REF!-#REF!-#REF!-#REF!-#REF!-#REF!-#REF!-#REF!-#REF!-#REF!-#REF!-#REF!-#REF!-#REF!-#REF!-#REF!-#REF!-#REF!-#REF!-#REF!</f>
        <v>#REF!</v>
      </c>
      <c r="G13" s="776" t="e">
        <f>G15+G19+G10-#REF!-#REF!-#REF!-#REF!-#REF!-#REF!-#REF!-#REF!-#REF!-#REF!-#REF!-#REF!-#REF!-#REF!-#REF!-#REF!-#REF!-#REF!-#REF!</f>
        <v>#REF!</v>
      </c>
      <c r="H13" s="776" t="e">
        <f>H15+H19+H10-#REF!-#REF!-#REF!-#REF!-#REF!-#REF!-#REF!-#REF!-#REF!-#REF!-#REF!-#REF!-#REF!-#REF!</f>
        <v>#REF!</v>
      </c>
      <c r="I13" s="776" t="e">
        <f>I19+I15</f>
        <v>#REF!</v>
      </c>
      <c r="J13" s="803">
        <v>3528567.6159999995</v>
      </c>
      <c r="K13" s="803">
        <v>0</v>
      </c>
      <c r="L13" s="803">
        <v>2721635.1160000004</v>
      </c>
      <c r="M13" s="803">
        <v>1085991.9480000003</v>
      </c>
      <c r="N13" s="803">
        <v>2757093.517</v>
      </c>
      <c r="O13" s="803">
        <v>1806445.7279999999</v>
      </c>
    </row>
    <row r="14" spans="1:15" ht="13.5" thickTop="1" thickBot="1">
      <c r="A14" s="872" t="s">
        <v>82</v>
      </c>
      <c r="B14" s="768" t="s">
        <v>83</v>
      </c>
      <c r="C14" s="768" t="s">
        <v>84</v>
      </c>
      <c r="D14" s="769" t="e">
        <f>SUM(E14:I14)</f>
        <v>#REF!</v>
      </c>
      <c r="E14" s="780" t="e">
        <f>#REF!+#REF!+#REF!+#REF!+#REF!</f>
        <v>#REF!</v>
      </c>
      <c r="F14" s="780" t="e">
        <f>#REF!+#REF!+#REF!+#REF!+#REF!+#REF!+#REF!+#REF!</f>
        <v>#REF!</v>
      </c>
      <c r="G14" s="780" t="e">
        <f>#REF!+#REF!+#REF!+#REF!+#REF!+#REF!+#REF!+#REF!</f>
        <v>#REF!</v>
      </c>
      <c r="H14" s="780" t="e">
        <f>#REF!+#REF!+#REF!+#REF!+#REF!+#REF!+#REF!+#REF!</f>
        <v>#REF!</v>
      </c>
      <c r="I14" s="780" t="e">
        <f>#REF!+#REF!+#REF!+#REF!+#REF!+#REF!+#REF!+#REF!</f>
        <v>#REF!</v>
      </c>
      <c r="J14" s="801">
        <v>2921761.3609999996</v>
      </c>
      <c r="K14" s="804">
        <v>0</v>
      </c>
      <c r="L14" s="804">
        <v>467479.95240000001</v>
      </c>
      <c r="M14" s="804">
        <v>13590.831999999997</v>
      </c>
      <c r="N14" s="804">
        <v>926367.04859999986</v>
      </c>
      <c r="O14" s="804">
        <v>1514323.5279999999</v>
      </c>
    </row>
    <row r="15" spans="1:15" ht="13.5" thickTop="1" thickBot="1">
      <c r="A15" s="872"/>
      <c r="B15" s="768" t="s">
        <v>100</v>
      </c>
      <c r="C15" s="768" t="s">
        <v>101</v>
      </c>
      <c r="D15" s="769" t="e">
        <f t="shared" ref="D15:D18" si="2">SUM(E15:I15)</f>
        <v>#REF!</v>
      </c>
      <c r="E15" s="781" t="e">
        <f>SUM(E16:E18)</f>
        <v>#REF!</v>
      </c>
      <c r="F15" s="782" t="e">
        <f>SUM(F16:F18)</f>
        <v>#REF!</v>
      </c>
      <c r="G15" s="782" t="e">
        <f>SUM(G16:G18)</f>
        <v>#REF!</v>
      </c>
      <c r="H15" s="782" t="e">
        <f>SUM(H16:H18)</f>
        <v>#REF!</v>
      </c>
      <c r="I15" s="783" t="e">
        <f>SUM(I16:I18)</f>
        <v>#REF!</v>
      </c>
      <c r="J15" s="801">
        <v>2892428.3829999999</v>
      </c>
      <c r="K15" s="805">
        <v>0</v>
      </c>
      <c r="L15" s="806">
        <v>582382.07300000009</v>
      </c>
      <c r="M15" s="806">
        <v>47329.625999999997</v>
      </c>
      <c r="N15" s="806">
        <v>763243.66800000006</v>
      </c>
      <c r="O15" s="807">
        <v>1499473.0159999998</v>
      </c>
    </row>
    <row r="16" spans="1:15" ht="13.5" thickTop="1" thickBot="1">
      <c r="A16" s="872"/>
      <c r="B16" s="771" t="s">
        <v>102</v>
      </c>
      <c r="C16" s="772" t="s">
        <v>103</v>
      </c>
      <c r="D16" s="773" t="e">
        <f t="shared" si="2"/>
        <v>#REF!</v>
      </c>
      <c r="E16" s="770"/>
      <c r="F16" s="770"/>
      <c r="G16" s="770"/>
      <c r="H16" s="770"/>
      <c r="I16" s="770" t="e">
        <f>'9 месяцев'!I342+#REF!</f>
        <v>#REF!</v>
      </c>
      <c r="J16" s="802">
        <v>1077702.5589999999</v>
      </c>
      <c r="K16" s="801">
        <v>0</v>
      </c>
      <c r="L16" s="801">
        <v>0</v>
      </c>
      <c r="M16" s="801">
        <v>0</v>
      </c>
      <c r="N16" s="801">
        <v>0</v>
      </c>
      <c r="O16" s="804">
        <v>1077702.5589999999</v>
      </c>
    </row>
    <row r="17" spans="1:15" ht="13.5" thickTop="1" thickBot="1">
      <c r="A17" s="872"/>
      <c r="B17" s="771" t="s">
        <v>104</v>
      </c>
      <c r="C17" s="772" t="s">
        <v>105</v>
      </c>
      <c r="D17" s="773" t="e">
        <f t="shared" si="2"/>
        <v>#REF!</v>
      </c>
      <c r="E17" s="770" t="e">
        <f>'9 месяцев'!E344+#REF!</f>
        <v>#REF!</v>
      </c>
      <c r="F17" s="784" t="e">
        <f>'9 месяцев'!F344+#REF!</f>
        <v>#REF!</v>
      </c>
      <c r="G17" s="770" t="e">
        <f>'9 месяцев'!G344+#REF!</f>
        <v>#REF!</v>
      </c>
      <c r="H17" s="770" t="e">
        <f>'9 месяцев'!H344+#REF!</f>
        <v>#REF!</v>
      </c>
      <c r="I17" s="770" t="e">
        <f>'9 месяцев'!I344+#REF!</f>
        <v>#REF!</v>
      </c>
      <c r="J17" s="802">
        <v>1488534.084</v>
      </c>
      <c r="K17" s="803">
        <v>0</v>
      </c>
      <c r="L17" s="804">
        <v>582167.79300000006</v>
      </c>
      <c r="M17" s="804">
        <v>34196.771999999997</v>
      </c>
      <c r="N17" s="804">
        <v>540266.24100000004</v>
      </c>
      <c r="O17" s="804">
        <v>331903.27799999999</v>
      </c>
    </row>
    <row r="18" spans="1:15" ht="13.5" thickTop="1" thickBot="1">
      <c r="A18" s="872"/>
      <c r="B18" s="771" t="s">
        <v>106</v>
      </c>
      <c r="C18" s="772" t="s">
        <v>107</v>
      </c>
      <c r="D18" s="773" t="e">
        <f t="shared" si="2"/>
        <v>#REF!</v>
      </c>
      <c r="E18" s="770" t="e">
        <f>'9 месяцев'!E345+#REF!</f>
        <v>#REF!</v>
      </c>
      <c r="F18" s="770" t="e">
        <f>'9 месяцев'!F345+#REF!</f>
        <v>#REF!</v>
      </c>
      <c r="G18" s="770" t="e">
        <f>'9 месяцев'!G345+#REF!</f>
        <v>#REF!</v>
      </c>
      <c r="H18" s="770" t="e">
        <f>'9 месяцев'!H345+#REF!</f>
        <v>#REF!</v>
      </c>
      <c r="I18" s="770" t="e">
        <f>'9 месяцев'!I345+#REF!</f>
        <v>#REF!</v>
      </c>
      <c r="J18" s="802">
        <v>326191.74</v>
      </c>
      <c r="K18" s="803">
        <v>0</v>
      </c>
      <c r="L18" s="803">
        <v>214.28000000000003</v>
      </c>
      <c r="M18" s="804">
        <v>13132.854000000001</v>
      </c>
      <c r="N18" s="804">
        <v>222977.42700000003</v>
      </c>
      <c r="O18" s="804">
        <v>89867.178999999989</v>
      </c>
    </row>
    <row r="19" spans="1:15" ht="13.5" thickTop="1" thickBot="1">
      <c r="A19" s="873" t="s">
        <v>111</v>
      </c>
      <c r="B19" s="786" t="s">
        <v>112</v>
      </c>
      <c r="C19" s="768" t="s">
        <v>113</v>
      </c>
      <c r="D19" s="769" t="e">
        <f>SUM(E19:I19)</f>
        <v>#REF!</v>
      </c>
      <c r="E19" s="769" t="e">
        <f>E12-E10-E14</f>
        <v>#REF!</v>
      </c>
      <c r="F19" s="769" t="e">
        <f>F12-F10-F14</f>
        <v>#REF!</v>
      </c>
      <c r="G19" s="769" t="e">
        <f>G12-G10-G14</f>
        <v>#REF!</v>
      </c>
      <c r="H19" s="769" t="e">
        <f>H12-H10-H14</f>
        <v>#REF!</v>
      </c>
      <c r="I19" s="769" t="e">
        <f>I12-I10-I14</f>
        <v>#REF!</v>
      </c>
      <c r="J19" s="807">
        <v>606806.25500000012</v>
      </c>
      <c r="K19" s="801">
        <v>0</v>
      </c>
      <c r="L19" s="801">
        <v>92283.342000000004</v>
      </c>
      <c r="M19" s="801">
        <v>34951.77400000015</v>
      </c>
      <c r="N19" s="801">
        <v>172598.42699999991</v>
      </c>
      <c r="O19" s="801">
        <v>306972.71200000006</v>
      </c>
    </row>
    <row r="20" spans="1:15" ht="13.5" thickTop="1" thickBot="1">
      <c r="A20" s="873"/>
      <c r="B20" s="786" t="s">
        <v>114</v>
      </c>
      <c r="C20" s="768" t="s">
        <v>115</v>
      </c>
      <c r="D20" s="787" t="e">
        <f t="shared" ref="D20:I20" si="3">IF(D12=0,0,D19/D12*100)</f>
        <v>#REF!</v>
      </c>
      <c r="E20" s="787" t="e">
        <f t="shared" si="3"/>
        <v>#REF!</v>
      </c>
      <c r="F20" s="787" t="e">
        <f t="shared" si="3"/>
        <v>#REF!</v>
      </c>
      <c r="G20" s="787" t="e">
        <f t="shared" si="3"/>
        <v>#REF!</v>
      </c>
      <c r="H20" s="787" t="e">
        <f t="shared" si="3"/>
        <v>#REF!</v>
      </c>
      <c r="I20" s="787" t="e">
        <f t="shared" si="3"/>
        <v>#REF!</v>
      </c>
      <c r="J20" s="808">
        <v>17.19695698187806</v>
      </c>
      <c r="K20" s="808">
        <v>0</v>
      </c>
      <c r="L20" s="808">
        <v>3.3907316031264791</v>
      </c>
      <c r="M20" s="808">
        <v>3.2178835243124362</v>
      </c>
      <c r="N20" s="808">
        <v>5.9104660048317337</v>
      </c>
      <c r="O20" s="808">
        <v>16.854628327789225</v>
      </c>
    </row>
    <row r="21" spans="1:15" ht="13.5" thickTop="1" thickBot="1">
      <c r="A21" s="873"/>
      <c r="B21" s="786" t="s">
        <v>116</v>
      </c>
      <c r="C21" s="768" t="s">
        <v>117</v>
      </c>
      <c r="D21" s="787" t="e">
        <f t="shared" ref="D21:I21" si="4">IF(D13=0,0,D19/D13*100)</f>
        <v>#REF!</v>
      </c>
      <c r="E21" s="787" t="e">
        <f t="shared" si="4"/>
        <v>#REF!</v>
      </c>
      <c r="F21" s="787" t="e">
        <f t="shared" si="4"/>
        <v>#REF!</v>
      </c>
      <c r="G21" s="787" t="e">
        <f t="shared" si="4"/>
        <v>#REF!</v>
      </c>
      <c r="H21" s="787" t="e">
        <f t="shared" si="4"/>
        <v>#REF!</v>
      </c>
      <c r="I21" s="787" t="e">
        <f t="shared" si="4"/>
        <v>#REF!</v>
      </c>
      <c r="J21" s="808">
        <v>17.19695698187806</v>
      </c>
      <c r="K21" s="808">
        <v>0</v>
      </c>
      <c r="L21" s="808">
        <v>3.3907316031264783</v>
      </c>
      <c r="M21" s="808">
        <v>3.2184192584823976</v>
      </c>
      <c r="N21" s="808">
        <v>6.2601586031004368</v>
      </c>
      <c r="O21" s="808">
        <v>16.993187630378678</v>
      </c>
    </row>
    <row r="22" spans="1:15" ht="13.5" thickTop="1" thickBot="1">
      <c r="A22" s="873"/>
      <c r="B22" s="788" t="s">
        <v>118</v>
      </c>
      <c r="C22" s="789" t="s">
        <v>209</v>
      </c>
      <c r="D22" s="790" t="e">
        <f>SUM(E22:I22)</f>
        <v>#REF!</v>
      </c>
      <c r="E22" s="790"/>
      <c r="F22" s="770" t="e">
        <f>'9 месяцев'!F352+#REF!</f>
        <v>#REF!</v>
      </c>
      <c r="G22" s="790"/>
      <c r="H22" s="790"/>
      <c r="I22" s="790"/>
      <c r="J22" s="809">
        <v>55725.013037600002</v>
      </c>
      <c r="K22" s="801">
        <v>0</v>
      </c>
      <c r="L22" s="810">
        <v>55725.013037600002</v>
      </c>
      <c r="M22" s="809">
        <v>0</v>
      </c>
      <c r="N22" s="809">
        <v>0</v>
      </c>
      <c r="O22" s="809">
        <v>0</v>
      </c>
    </row>
    <row r="23" spans="1:15" ht="13.5" thickTop="1" thickBot="1">
      <c r="A23" s="873"/>
      <c r="B23" s="792" t="s">
        <v>120</v>
      </c>
      <c r="C23" s="771" t="s">
        <v>121</v>
      </c>
      <c r="D23" s="793" t="e">
        <f>SUM(E23:I23)</f>
        <v>#REF!</v>
      </c>
      <c r="E23" s="793" t="e">
        <f>E19</f>
        <v>#REF!</v>
      </c>
      <c r="F23" s="793" t="e">
        <f>F19</f>
        <v>#REF!</v>
      </c>
      <c r="G23" s="793" t="e">
        <f>G19</f>
        <v>#REF!</v>
      </c>
      <c r="H23" s="793" t="e">
        <f>H19</f>
        <v>#REF!</v>
      </c>
      <c r="I23" s="793" t="e">
        <f>I19</f>
        <v>#REF!</v>
      </c>
      <c r="J23" s="805">
        <v>606806.25500000012</v>
      </c>
      <c r="K23" s="805">
        <v>0</v>
      </c>
      <c r="L23" s="805">
        <v>92283.342000000004</v>
      </c>
      <c r="M23" s="805">
        <v>34951.77400000015</v>
      </c>
      <c r="N23" s="805">
        <v>172598.42699999991</v>
      </c>
      <c r="O23" s="805">
        <v>306972.71200000006</v>
      </c>
    </row>
    <row r="24" spans="1:15" ht="13.5" thickTop="1" thickBot="1">
      <c r="A24" s="873"/>
      <c r="B24" s="792" t="s">
        <v>122</v>
      </c>
      <c r="C24" s="771" t="s">
        <v>123</v>
      </c>
      <c r="D24" s="794" t="e">
        <f>D25/1.18/D23</f>
        <v>#REF!</v>
      </c>
      <c r="E24" s="795">
        <v>1.6759419533257378</v>
      </c>
      <c r="F24" s="795">
        <v>1.6759419533257378</v>
      </c>
      <c r="G24" s="795">
        <v>1.6759419533257378</v>
      </c>
      <c r="H24" s="795">
        <v>1.6759419533257378</v>
      </c>
      <c r="I24" s="795">
        <v>1.6759419533257378</v>
      </c>
      <c r="J24" s="811">
        <v>1.6423016548832334</v>
      </c>
      <c r="K24" s="812">
        <v>1.6423016548832337</v>
      </c>
      <c r="L24" s="812">
        <v>1.6423016548832337</v>
      </c>
      <c r="M24" s="812">
        <v>1.6423016548832337</v>
      </c>
      <c r="N24" s="812">
        <v>1.6423016548832337</v>
      </c>
      <c r="O24" s="812">
        <v>1.6423016548832337</v>
      </c>
    </row>
    <row r="25" spans="1:15" ht="13.5" thickTop="1" thickBot="1">
      <c r="A25" s="873"/>
      <c r="B25" s="792" t="s">
        <v>124</v>
      </c>
      <c r="C25" s="771" t="s">
        <v>125</v>
      </c>
      <c r="D25" s="793" t="e">
        <f>SUM(E25:I25)</f>
        <v>#REF!</v>
      </c>
      <c r="E25" s="793" t="e">
        <f>E23*E24*1.18</f>
        <v>#REF!</v>
      </c>
      <c r="F25" s="793" t="e">
        <f>F23*F24*1.18</f>
        <v>#REF!</v>
      </c>
      <c r="G25" s="793" t="e">
        <f>G23*G24*1.18</f>
        <v>#REF!</v>
      </c>
      <c r="H25" s="793" t="e">
        <f>H23*H24*1.18</f>
        <v>#REF!</v>
      </c>
      <c r="I25" s="793" t="e">
        <f>I23*I24*1.18</f>
        <v>#REF!</v>
      </c>
      <c r="J25" s="805">
        <v>1175939.521800397</v>
      </c>
      <c r="K25" s="805">
        <v>0</v>
      </c>
      <c r="L25" s="805">
        <v>178837.36063601138</v>
      </c>
      <c r="M25" s="805">
        <v>67733.600411939929</v>
      </c>
      <c r="N25" s="805">
        <v>334481.24510496453</v>
      </c>
      <c r="O25" s="805">
        <v>594887.31564748124</v>
      </c>
    </row>
    <row r="26" spans="1:15" ht="13.5" thickTop="1" thickBot="1">
      <c r="A26" s="873"/>
      <c r="B26" s="796" t="s">
        <v>126</v>
      </c>
      <c r="C26" s="789" t="s">
        <v>127</v>
      </c>
      <c r="D26" s="797" t="e">
        <f>SUM(E26:I26)</f>
        <v>#REF!</v>
      </c>
      <c r="E26" s="791" t="e">
        <f>'9 месяцев'!E356+#REF!</f>
        <v>#REF!</v>
      </c>
      <c r="F26" s="791" t="e">
        <f>'9 месяцев'!F356+#REF!</f>
        <v>#REF!</v>
      </c>
      <c r="G26" s="791" t="e">
        <f>'9 месяцев'!G356+#REF!</f>
        <v>#REF!</v>
      </c>
      <c r="H26" s="791" t="e">
        <f>'9 месяцев'!H356+#REF!</f>
        <v>#REF!</v>
      </c>
      <c r="I26" s="791" t="e">
        <f>'9 месяцев'!I356+#REF!</f>
        <v>#REF!</v>
      </c>
      <c r="J26" s="809">
        <v>615373.49</v>
      </c>
      <c r="K26" s="803">
        <v>0</v>
      </c>
      <c r="L26" s="810">
        <v>92283.342000000033</v>
      </c>
      <c r="M26" s="810">
        <v>34951.773999999983</v>
      </c>
      <c r="N26" s="810">
        <v>172598.42699999997</v>
      </c>
      <c r="O26" s="810">
        <v>315539.94699999999</v>
      </c>
    </row>
    <row r="27" spans="1:15" ht="13.5" thickTop="1" thickBot="1">
      <c r="A27" s="873"/>
      <c r="B27" s="796" t="s">
        <v>128</v>
      </c>
      <c r="C27" s="789" t="s">
        <v>129</v>
      </c>
      <c r="D27" s="798" t="e">
        <f t="shared" ref="D27:I27" si="5">IF(D12=0,0,D26/D12*100)</f>
        <v>#REF!</v>
      </c>
      <c r="E27" s="798" t="e">
        <f t="shared" si="5"/>
        <v>#REF!</v>
      </c>
      <c r="F27" s="798" t="e">
        <f t="shared" si="5"/>
        <v>#REF!</v>
      </c>
      <c r="G27" s="798" t="e">
        <f t="shared" si="5"/>
        <v>#REF!</v>
      </c>
      <c r="H27" s="798" t="e">
        <f t="shared" si="5"/>
        <v>#REF!</v>
      </c>
      <c r="I27" s="798" t="e">
        <f t="shared" si="5"/>
        <v>#REF!</v>
      </c>
      <c r="J27" s="813">
        <v>17.439753377819361</v>
      </c>
      <c r="K27" s="813">
        <v>0</v>
      </c>
      <c r="L27" s="813">
        <v>3.3907316031264805</v>
      </c>
      <c r="M27" s="813">
        <v>3.2178835243124211</v>
      </c>
      <c r="N27" s="813">
        <v>5.9104660048317363</v>
      </c>
      <c r="O27" s="813">
        <v>17.32502050297979</v>
      </c>
    </row>
    <row r="28" spans="1:15" ht="13.5" thickTop="1" thickBot="1">
      <c r="A28" s="873"/>
      <c r="B28" s="799" t="s">
        <v>130</v>
      </c>
      <c r="C28" s="789" t="s">
        <v>131</v>
      </c>
      <c r="D28" s="798" t="e">
        <f t="shared" ref="D28:I28" si="6">IF(D13=0,0,D26/D13*100)</f>
        <v>#REF!</v>
      </c>
      <c r="E28" s="798" t="e">
        <f t="shared" si="6"/>
        <v>#REF!</v>
      </c>
      <c r="F28" s="798" t="e">
        <f t="shared" si="6"/>
        <v>#REF!</v>
      </c>
      <c r="G28" s="798" t="e">
        <f t="shared" si="6"/>
        <v>#REF!</v>
      </c>
      <c r="H28" s="798" t="e">
        <f t="shared" si="6"/>
        <v>#REF!</v>
      </c>
      <c r="I28" s="798" t="e">
        <f t="shared" si="6"/>
        <v>#REF!</v>
      </c>
      <c r="J28" s="813">
        <v>17.439753377819361</v>
      </c>
      <c r="K28" s="813">
        <v>0</v>
      </c>
      <c r="L28" s="813">
        <v>3.3907316031264796</v>
      </c>
      <c r="M28" s="813">
        <v>3.2184192584823816</v>
      </c>
      <c r="N28" s="813">
        <v>6.2601586031004395</v>
      </c>
      <c r="O28" s="813">
        <v>17.46744682716535</v>
      </c>
    </row>
    <row r="29" spans="1:15" ht="13.5" thickTop="1" thickBot="1">
      <c r="A29" s="873"/>
      <c r="B29" s="800" t="s">
        <v>132</v>
      </c>
      <c r="C29" s="771" t="s">
        <v>133</v>
      </c>
      <c r="D29" s="793" t="e">
        <f>SUM(E29:I29)</f>
        <v>#REF!</v>
      </c>
      <c r="E29" s="785" t="e">
        <f>E19-E26</f>
        <v>#REF!</v>
      </c>
      <c r="F29" s="793" t="e">
        <f>F19-F26</f>
        <v>#REF!</v>
      </c>
      <c r="G29" s="793" t="e">
        <f>G19-G26</f>
        <v>#REF!</v>
      </c>
      <c r="H29" s="793" t="e">
        <f>H19-H26</f>
        <v>#REF!</v>
      </c>
      <c r="I29" s="793" t="e">
        <f>I19-I26</f>
        <v>#REF!</v>
      </c>
      <c r="J29" s="805">
        <v>-8567.2349999997605</v>
      </c>
      <c r="K29" s="805">
        <v>0</v>
      </c>
      <c r="L29" s="805">
        <v>0</v>
      </c>
      <c r="M29" s="805">
        <v>1.673470251262188E-10</v>
      </c>
      <c r="N29" s="805">
        <v>0</v>
      </c>
      <c r="O29" s="805">
        <v>-8567.2349999999278</v>
      </c>
    </row>
    <row r="30" spans="1:15" ht="13.5" thickTop="1" thickBot="1">
      <c r="A30" s="873"/>
      <c r="B30" s="800" t="s">
        <v>134</v>
      </c>
      <c r="C30" s="771" t="s">
        <v>135</v>
      </c>
      <c r="D30" s="798" t="e">
        <f t="shared" ref="D30:I30" si="7">IF(D12=0,0,D29/D12*100)</f>
        <v>#REF!</v>
      </c>
      <c r="E30" s="798" t="e">
        <f t="shared" si="7"/>
        <v>#REF!</v>
      </c>
      <c r="F30" s="798" t="e">
        <f t="shared" si="7"/>
        <v>#REF!</v>
      </c>
      <c r="G30" s="798" t="e">
        <f t="shared" si="7"/>
        <v>#REF!</v>
      </c>
      <c r="H30" s="798" t="e">
        <f t="shared" si="7"/>
        <v>#REF!</v>
      </c>
      <c r="I30" s="798" t="e">
        <f t="shared" si="7"/>
        <v>#REF!</v>
      </c>
      <c r="J30" s="813">
        <v>-0.24279639594129748</v>
      </c>
      <c r="K30" s="813">
        <v>0</v>
      </c>
      <c r="L30" s="813">
        <v>0</v>
      </c>
      <c r="M30" s="813">
        <v>1.5407035848777133E-14</v>
      </c>
      <c r="N30" s="813">
        <v>0</v>
      </c>
      <c r="O30" s="813">
        <v>-0.47039217519056253</v>
      </c>
    </row>
    <row r="31" spans="1:15" ht="13.5" thickTop="1" thickBot="1">
      <c r="A31" s="873"/>
      <c r="B31" s="800" t="s">
        <v>136</v>
      </c>
      <c r="C31" s="771" t="s">
        <v>137</v>
      </c>
      <c r="D31" s="798" t="e">
        <f t="shared" ref="D31:I31" si="8">IF(D13=0,0,D29/D13*100)</f>
        <v>#REF!</v>
      </c>
      <c r="E31" s="798" t="e">
        <f t="shared" si="8"/>
        <v>#REF!</v>
      </c>
      <c r="F31" s="798" t="e">
        <f t="shared" si="8"/>
        <v>#REF!</v>
      </c>
      <c r="G31" s="798" t="e">
        <f t="shared" si="8"/>
        <v>#REF!</v>
      </c>
      <c r="H31" s="798" t="e">
        <f t="shared" si="8"/>
        <v>#REF!</v>
      </c>
      <c r="I31" s="798" t="e">
        <f t="shared" si="8"/>
        <v>#REF!</v>
      </c>
      <c r="J31" s="813">
        <v>-0.24279639594129748</v>
      </c>
      <c r="K31" s="813">
        <v>0</v>
      </c>
      <c r="L31" s="813">
        <v>0</v>
      </c>
      <c r="M31" s="813">
        <v>1.5409600912272947E-14</v>
      </c>
      <c r="N31" s="813">
        <v>0</v>
      </c>
      <c r="O31" s="813">
        <v>-0.47425919678667089</v>
      </c>
    </row>
  </sheetData>
  <mergeCells count="20">
    <mergeCell ref="A1:O1"/>
    <mergeCell ref="B3:B5"/>
    <mergeCell ref="C3:C5"/>
    <mergeCell ref="D3:I3"/>
    <mergeCell ref="J3:O3"/>
    <mergeCell ref="D4:D5"/>
    <mergeCell ref="E4:F4"/>
    <mergeCell ref="G4:G5"/>
    <mergeCell ref="H4:H5"/>
    <mergeCell ref="I4:I5"/>
    <mergeCell ref="J4:J5"/>
    <mergeCell ref="K4:L4"/>
    <mergeCell ref="M4:M5"/>
    <mergeCell ref="N4:N5"/>
    <mergeCell ref="O4:O5"/>
    <mergeCell ref="A6:A8"/>
    <mergeCell ref="A9:A11"/>
    <mergeCell ref="A14:A18"/>
    <mergeCell ref="A19:A31"/>
    <mergeCell ref="A3:A5"/>
  </mergeCells>
  <phoneticPr fontId="0" type="noConversion"/>
  <pageMargins left="0.86614173228346458" right="0.27559055118110237" top="0.55118110236220474" bottom="0.35433070866141736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7"/>
  <sheetViews>
    <sheetView view="pageBreakPreview" zoomScale="90" zoomScaleSheetLayoutView="90" workbookViewId="0">
      <pane xSplit="3" ySplit="5" topLeftCell="D34" activePane="bottomRight" state="frozen"/>
      <selection pane="topRight" activeCell="D1" sqref="D1"/>
      <selection pane="bottomLeft" activeCell="A63" sqref="A63"/>
      <selection pane="bottomRight" activeCell="D45" sqref="D45:O46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" style="1" customWidth="1"/>
    <col min="6" max="6" width="11.85546875" style="1" customWidth="1"/>
    <col min="7" max="7" width="11.140625" style="1" customWidth="1"/>
    <col min="8" max="8" width="10.5703125" style="1" customWidth="1"/>
    <col min="9" max="10" width="11.85546875" style="1" customWidth="1"/>
    <col min="11" max="11" width="11.140625" style="1" customWidth="1"/>
    <col min="12" max="12" width="11.28515625" style="1" customWidth="1"/>
    <col min="13" max="13" width="10.28515625" style="1" customWidth="1"/>
    <col min="14" max="14" width="11.5703125" style="1" customWidth="1"/>
    <col min="15" max="15" width="12.140625" style="1" customWidth="1"/>
    <col min="16" max="16" width="12.85546875" style="1" customWidth="1"/>
    <col min="17" max="16384" width="9.140625" style="1"/>
  </cols>
  <sheetData>
    <row r="1" spans="1:15" ht="15.75">
      <c r="A1" s="817" t="s">
        <v>215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" customHeight="1" thickBot="1">
      <c r="A3" s="856"/>
      <c r="B3" s="857" t="s">
        <v>0</v>
      </c>
      <c r="C3" s="858" t="s">
        <v>1</v>
      </c>
      <c r="D3" s="824" t="s">
        <v>2</v>
      </c>
      <c r="E3" s="825"/>
      <c r="F3" s="825"/>
      <c r="G3" s="825"/>
      <c r="H3" s="825"/>
      <c r="I3" s="826"/>
      <c r="J3" s="827" t="s">
        <v>3</v>
      </c>
      <c r="K3" s="828"/>
      <c r="L3" s="828"/>
      <c r="M3" s="828"/>
      <c r="N3" s="828"/>
      <c r="O3" s="829"/>
    </row>
    <row r="4" spans="1:15" s="3" customFormat="1" ht="12.75" customHeight="1" thickTop="1" thickBot="1">
      <c r="A4" s="856"/>
      <c r="B4" s="857"/>
      <c r="C4" s="858"/>
      <c r="D4" s="830" t="s">
        <v>4</v>
      </c>
      <c r="E4" s="835" t="s">
        <v>5</v>
      </c>
      <c r="F4" s="835"/>
      <c r="G4" s="835" t="s">
        <v>6</v>
      </c>
      <c r="H4" s="835" t="s">
        <v>7</v>
      </c>
      <c r="I4" s="820" t="s">
        <v>8</v>
      </c>
      <c r="J4" s="831" t="s">
        <v>4</v>
      </c>
      <c r="K4" s="833" t="s">
        <v>5</v>
      </c>
      <c r="L4" s="834"/>
      <c r="M4" s="818" t="s">
        <v>6</v>
      </c>
      <c r="N4" s="818" t="s">
        <v>7</v>
      </c>
      <c r="O4" s="820" t="s">
        <v>8</v>
      </c>
    </row>
    <row r="5" spans="1:15" s="6" customFormat="1" ht="13.5" thickTop="1" thickBot="1">
      <c r="A5" s="856"/>
      <c r="B5" s="857"/>
      <c r="C5" s="858"/>
      <c r="D5" s="831"/>
      <c r="E5" s="86">
        <v>220</v>
      </c>
      <c r="F5" s="86">
        <v>110</v>
      </c>
      <c r="G5" s="818"/>
      <c r="H5" s="818"/>
      <c r="I5" s="846"/>
      <c r="J5" s="845"/>
      <c r="K5" s="87">
        <v>220</v>
      </c>
      <c r="L5" s="242">
        <v>110</v>
      </c>
      <c r="M5" s="819"/>
      <c r="N5" s="819"/>
      <c r="O5" s="821"/>
    </row>
    <row r="6" spans="1:15" ht="13.5" thickTop="1" thickBot="1">
      <c r="A6" s="852" t="s">
        <v>9</v>
      </c>
      <c r="B6" s="7" t="s">
        <v>10</v>
      </c>
      <c r="C6" s="7" t="s">
        <v>11</v>
      </c>
      <c r="D6" s="352">
        <f t="shared" ref="D6:O6" si="0">SUM(D7:D9,D12,D14)</f>
        <v>1028950</v>
      </c>
      <c r="E6" s="353">
        <f t="shared" si="0"/>
        <v>0</v>
      </c>
      <c r="F6" s="353">
        <f t="shared" si="0"/>
        <v>823680</v>
      </c>
      <c r="G6" s="353">
        <f t="shared" si="0"/>
        <v>119920</v>
      </c>
      <c r="H6" s="353">
        <f t="shared" si="0"/>
        <v>85330</v>
      </c>
      <c r="I6" s="353">
        <f t="shared" si="0"/>
        <v>20</v>
      </c>
      <c r="J6" s="244">
        <f t="shared" si="0"/>
        <v>978700.08799999999</v>
      </c>
      <c r="K6" s="245">
        <f t="shared" si="0"/>
        <v>0</v>
      </c>
      <c r="L6" s="245">
        <f t="shared" si="0"/>
        <v>811248.46399999992</v>
      </c>
      <c r="M6" s="245">
        <f t="shared" si="0"/>
        <v>91271.89</v>
      </c>
      <c r="N6" s="245">
        <f t="shared" si="0"/>
        <v>76165.464000000007</v>
      </c>
      <c r="O6" s="245">
        <f t="shared" si="0"/>
        <v>14.27</v>
      </c>
    </row>
    <row r="7" spans="1:15" ht="13.5" thickTop="1" thickBot="1">
      <c r="A7" s="852"/>
      <c r="B7" s="8" t="s">
        <v>12</v>
      </c>
      <c r="C7" s="8" t="s">
        <v>13</v>
      </c>
      <c r="D7" s="354">
        <f>SUM(E7:I7)</f>
        <v>0</v>
      </c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247">
        <f>SUM(K7:O7)</f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</row>
    <row r="8" spans="1:15" ht="13.5" thickTop="1" thickBot="1">
      <c r="A8" s="852"/>
      <c r="B8" s="9" t="s">
        <v>14</v>
      </c>
      <c r="C8" s="9" t="s">
        <v>15</v>
      </c>
      <c r="D8" s="354">
        <f>SUM(E8:I8)</f>
        <v>518680</v>
      </c>
      <c r="E8" s="356">
        <f>январь!E8+февраль!E8</f>
        <v>0</v>
      </c>
      <c r="F8" s="356">
        <f>январь!F8+февраль!F8</f>
        <v>402310</v>
      </c>
      <c r="G8" s="356">
        <f>январь!G8+февраль!G8</f>
        <v>37860</v>
      </c>
      <c r="H8" s="356">
        <f>январь!H8+февраль!H8</f>
        <v>78490</v>
      </c>
      <c r="I8" s="356">
        <f>январь!I8+февраль!I8</f>
        <v>20</v>
      </c>
      <c r="J8" s="247">
        <f>SUM(K8:O8)</f>
        <v>410762.75400000002</v>
      </c>
      <c r="K8" s="356">
        <f>январь!K8+февраль!K8</f>
        <v>0</v>
      </c>
      <c r="L8" s="356">
        <f>январь!L8+февраль!L8</f>
        <v>309708.76199999999</v>
      </c>
      <c r="M8" s="356">
        <f>январь!M8+февраль!M8</f>
        <v>30647.194</v>
      </c>
      <c r="N8" s="356">
        <f>январь!N8+февраль!N8</f>
        <v>70392.528000000006</v>
      </c>
      <c r="O8" s="356">
        <f>январь!O8+февраль!O8</f>
        <v>14.27</v>
      </c>
    </row>
    <row r="9" spans="1:15" ht="13.5" thickTop="1" thickBot="1">
      <c r="A9" s="852"/>
      <c r="B9" s="9" t="s">
        <v>16</v>
      </c>
      <c r="C9" s="9" t="s">
        <v>17</v>
      </c>
      <c r="D9" s="354">
        <f t="shared" ref="D9:O9" si="1">SUM(D10:D11)</f>
        <v>34050</v>
      </c>
      <c r="E9" s="355">
        <f t="shared" si="1"/>
        <v>0</v>
      </c>
      <c r="F9" s="355">
        <f t="shared" si="1"/>
        <v>34050</v>
      </c>
      <c r="G9" s="355">
        <f t="shared" si="1"/>
        <v>0</v>
      </c>
      <c r="H9" s="355">
        <f t="shared" si="1"/>
        <v>0</v>
      </c>
      <c r="I9" s="355">
        <f t="shared" si="1"/>
        <v>0</v>
      </c>
      <c r="J9" s="247">
        <f t="shared" si="1"/>
        <v>32458.108</v>
      </c>
      <c r="K9" s="248">
        <f t="shared" si="1"/>
        <v>0</v>
      </c>
      <c r="L9" s="248">
        <f t="shared" si="1"/>
        <v>32458.108</v>
      </c>
      <c r="M9" s="248">
        <f t="shared" si="1"/>
        <v>0</v>
      </c>
      <c r="N9" s="248">
        <f t="shared" si="1"/>
        <v>0</v>
      </c>
      <c r="O9" s="248">
        <f t="shared" si="1"/>
        <v>0</v>
      </c>
    </row>
    <row r="10" spans="1:15" ht="13.5" thickTop="1" thickBot="1">
      <c r="A10" s="852"/>
      <c r="B10" s="10" t="s">
        <v>18</v>
      </c>
      <c r="C10" s="11" t="s">
        <v>164</v>
      </c>
      <c r="D10" s="357">
        <f>SUM(F10:I10)</f>
        <v>31900</v>
      </c>
      <c r="E10" s="358"/>
      <c r="F10" s="356">
        <f>январь!F10+февраль!F10</f>
        <v>31900</v>
      </c>
      <c r="G10" s="358"/>
      <c r="H10" s="358"/>
      <c r="I10" s="358"/>
      <c r="J10" s="251">
        <f>SUM(L10:O10)</f>
        <v>30627.597999999998</v>
      </c>
      <c r="K10" s="252"/>
      <c r="L10" s="356">
        <f>январь!L10+февраль!L10</f>
        <v>30627.597999999998</v>
      </c>
      <c r="M10" s="252"/>
      <c r="N10" s="252"/>
      <c r="O10" s="252"/>
    </row>
    <row r="11" spans="1:15" ht="13.5" thickTop="1" thickBot="1">
      <c r="A11" s="852"/>
      <c r="B11" s="10" t="s">
        <v>19</v>
      </c>
      <c r="C11" s="11" t="s">
        <v>165</v>
      </c>
      <c r="D11" s="357">
        <f>SUM(F11:I11)</f>
        <v>2150</v>
      </c>
      <c r="E11" s="358"/>
      <c r="F11" s="356">
        <f>январь!F11+февраль!F11</f>
        <v>2150</v>
      </c>
      <c r="G11" s="358"/>
      <c r="H11" s="358"/>
      <c r="I11" s="358"/>
      <c r="J11" s="251">
        <f>SUM(L11:O11)</f>
        <v>1830.5100000000002</v>
      </c>
      <c r="K11" s="252"/>
      <c r="L11" s="356">
        <f>январь!L11+февраль!L11</f>
        <v>1830.5100000000002</v>
      </c>
      <c r="M11" s="252"/>
      <c r="N11" s="252"/>
      <c r="O11" s="252"/>
    </row>
    <row r="12" spans="1:15" ht="13.5" thickTop="1" thickBot="1">
      <c r="A12" s="852"/>
      <c r="B12" s="9" t="s">
        <v>20</v>
      </c>
      <c r="C12" s="9" t="s">
        <v>21</v>
      </c>
      <c r="D12" s="354">
        <f>SUM(E12:I12)</f>
        <v>471320</v>
      </c>
      <c r="E12" s="355"/>
      <c r="F12" s="356">
        <f>январь!F12+февраль!F12</f>
        <v>387320</v>
      </c>
      <c r="G12" s="356">
        <f>январь!G12+февраль!G12</f>
        <v>77160</v>
      </c>
      <c r="H12" s="356">
        <f>январь!H12+февраль!H12</f>
        <v>6840</v>
      </c>
      <c r="I12" s="355"/>
      <c r="J12" s="247">
        <f>SUM(K12:O12)</f>
        <v>535055.42599999998</v>
      </c>
      <c r="K12" s="248"/>
      <c r="L12" s="356">
        <f>январь!L12+февраль!L12</f>
        <v>469081.59399999998</v>
      </c>
      <c r="M12" s="356">
        <f>январь!M12+февраль!M12</f>
        <v>60200.895999999993</v>
      </c>
      <c r="N12" s="356">
        <f>январь!N12+февраль!N12</f>
        <v>5772.9359999999997</v>
      </c>
      <c r="O12" s="248"/>
    </row>
    <row r="13" spans="1:15" ht="13.5" thickTop="1" thickBot="1">
      <c r="A13" s="852"/>
      <c r="B13" s="12" t="s">
        <v>22</v>
      </c>
      <c r="C13" s="13" t="s">
        <v>23</v>
      </c>
      <c r="D13" s="354">
        <f>SUM(E13:I13)</f>
        <v>0</v>
      </c>
      <c r="E13" s="355"/>
      <c r="F13" s="358"/>
      <c r="G13" s="358"/>
      <c r="H13" s="358"/>
      <c r="I13" s="358"/>
      <c r="J13" s="247">
        <f>SUM(K13:O13)</f>
        <v>0</v>
      </c>
      <c r="K13" s="248"/>
      <c r="L13" s="252"/>
      <c r="M13" s="252"/>
      <c r="N13" s="358"/>
      <c r="O13" s="252"/>
    </row>
    <row r="14" spans="1:15" ht="13.5" thickTop="1" thickBot="1">
      <c r="A14" s="852"/>
      <c r="B14" s="14" t="s">
        <v>24</v>
      </c>
      <c r="C14" s="14" t="s">
        <v>25</v>
      </c>
      <c r="D14" s="354">
        <f>SUM(E14:I14)</f>
        <v>4900</v>
      </c>
      <c r="E14" s="355"/>
      <c r="F14" s="355"/>
      <c r="G14" s="356">
        <f>январь!G14+февраль!G14</f>
        <v>4900</v>
      </c>
      <c r="H14" s="355"/>
      <c r="I14" s="355"/>
      <c r="J14" s="247">
        <f>SUM(K14:O14)</f>
        <v>423.79999999999973</v>
      </c>
      <c r="K14" s="248"/>
      <c r="L14" s="248"/>
      <c r="M14" s="356">
        <f>январь!M14+февраль!M14</f>
        <v>423.79999999999973</v>
      </c>
      <c r="N14" s="248"/>
      <c r="O14" s="248"/>
    </row>
    <row r="15" spans="1:15" ht="13.5" thickTop="1" thickBot="1">
      <c r="A15" s="852"/>
      <c r="B15" s="15" t="s">
        <v>26</v>
      </c>
      <c r="C15" s="15" t="s">
        <v>27</v>
      </c>
      <c r="D15" s="352">
        <f t="shared" ref="D15:O15" si="2">SUM(D16:D18,D21)</f>
        <v>256340</v>
      </c>
      <c r="E15" s="359">
        <f t="shared" si="2"/>
        <v>0</v>
      </c>
      <c r="F15" s="359">
        <f t="shared" si="2"/>
        <v>255340</v>
      </c>
      <c r="G15" s="359">
        <f t="shared" si="2"/>
        <v>800</v>
      </c>
      <c r="H15" s="359">
        <f t="shared" si="2"/>
        <v>90</v>
      </c>
      <c r="I15" s="359">
        <f t="shared" si="2"/>
        <v>110</v>
      </c>
      <c r="J15" s="244">
        <f t="shared" si="2"/>
        <v>240229.88200000001</v>
      </c>
      <c r="K15" s="253">
        <f t="shared" si="2"/>
        <v>0</v>
      </c>
      <c r="L15" s="253">
        <f t="shared" si="2"/>
        <v>239566.42500000002</v>
      </c>
      <c r="M15" s="253">
        <f t="shared" si="2"/>
        <v>482.63200000000001</v>
      </c>
      <c r="N15" s="253">
        <f t="shared" si="2"/>
        <v>91.64</v>
      </c>
      <c r="O15" s="253">
        <f t="shared" si="2"/>
        <v>89.185000000000002</v>
      </c>
    </row>
    <row r="16" spans="1:15" ht="13.5" thickTop="1" thickBot="1">
      <c r="A16" s="852"/>
      <c r="B16" s="8" t="s">
        <v>28</v>
      </c>
      <c r="C16" s="8" t="s">
        <v>29</v>
      </c>
      <c r="D16" s="354">
        <f>SUM(E16:I16)</f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247">
        <f>SUM(K16:O16)</f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</row>
    <row r="17" spans="1:15" ht="13.5" thickTop="1" thickBot="1">
      <c r="A17" s="852"/>
      <c r="B17" s="9" t="s">
        <v>30</v>
      </c>
      <c r="C17" s="9" t="s">
        <v>31</v>
      </c>
      <c r="D17" s="354">
        <f>SUM(E17:I17)</f>
        <v>244630</v>
      </c>
      <c r="E17" s="356">
        <f>январь!E17+февраль!E17</f>
        <v>0</v>
      </c>
      <c r="F17" s="356">
        <f>январь!F17+февраль!F17</f>
        <v>244430</v>
      </c>
      <c r="G17" s="356">
        <f>январь!G17+февраль!G17</f>
        <v>0</v>
      </c>
      <c r="H17" s="356">
        <f>январь!H17+февраль!H17</f>
        <v>90</v>
      </c>
      <c r="I17" s="356">
        <f>январь!I17+февраль!I17</f>
        <v>110</v>
      </c>
      <c r="J17" s="247">
        <f>SUM(K17:O17)</f>
        <v>232588.361</v>
      </c>
      <c r="K17" s="356">
        <f>январь!K17+февраль!K17</f>
        <v>0</v>
      </c>
      <c r="L17" s="356">
        <f>январь!L17+февраль!L17</f>
        <v>232407.26300000001</v>
      </c>
      <c r="M17" s="356">
        <f>январь!M17+февраль!M17</f>
        <v>0.27300000000000002</v>
      </c>
      <c r="N17" s="356">
        <f>январь!N17+февраль!N17</f>
        <v>91.64</v>
      </c>
      <c r="O17" s="356">
        <f>январь!O17+февраль!O17</f>
        <v>89.185000000000002</v>
      </c>
    </row>
    <row r="18" spans="1:15" ht="13.5" thickTop="1" thickBot="1">
      <c r="A18" s="852"/>
      <c r="B18" s="9" t="s">
        <v>32</v>
      </c>
      <c r="C18" s="9" t="s">
        <v>33</v>
      </c>
      <c r="D18" s="354">
        <f t="shared" ref="D18:O18" si="3">SUM(D19:D20)</f>
        <v>5370</v>
      </c>
      <c r="E18" s="355">
        <f t="shared" si="3"/>
        <v>0</v>
      </c>
      <c r="F18" s="355">
        <f t="shared" si="3"/>
        <v>5010</v>
      </c>
      <c r="G18" s="355">
        <f t="shared" si="3"/>
        <v>360</v>
      </c>
      <c r="H18" s="355">
        <f t="shared" si="3"/>
        <v>0</v>
      </c>
      <c r="I18" s="355">
        <f t="shared" si="3"/>
        <v>0</v>
      </c>
      <c r="J18" s="247">
        <f t="shared" si="3"/>
        <v>4971.0999999999995</v>
      </c>
      <c r="K18" s="248">
        <f t="shared" si="3"/>
        <v>0</v>
      </c>
      <c r="L18" s="248">
        <f t="shared" si="3"/>
        <v>4643.8779999999997</v>
      </c>
      <c r="M18" s="248">
        <f t="shared" si="3"/>
        <v>327.22199999999998</v>
      </c>
      <c r="N18" s="248">
        <f t="shared" si="3"/>
        <v>0</v>
      </c>
      <c r="O18" s="248">
        <f t="shared" si="3"/>
        <v>0</v>
      </c>
    </row>
    <row r="19" spans="1:15" ht="13.5" thickTop="1" thickBot="1">
      <c r="A19" s="852"/>
      <c r="B19" s="12" t="s">
        <v>34</v>
      </c>
      <c r="C19" s="11" t="s">
        <v>164</v>
      </c>
      <c r="D19" s="357">
        <f t="shared" ref="D19:D29" si="4">SUM(E19:I19)</f>
        <v>0</v>
      </c>
      <c r="E19" s="358"/>
      <c r="F19" s="356">
        <f>январь!F19+февраль!F19</f>
        <v>0</v>
      </c>
      <c r="G19" s="358">
        <v>0</v>
      </c>
      <c r="H19" s="358"/>
      <c r="I19" s="358"/>
      <c r="J19" s="251">
        <f t="shared" ref="J19:J29" si="5">SUM(K19:O19)</f>
        <v>93.111999999999995</v>
      </c>
      <c r="K19" s="252"/>
      <c r="L19" s="356">
        <f>январь!L19+февраль!L19</f>
        <v>93.111999999999995</v>
      </c>
      <c r="M19" s="252"/>
      <c r="N19" s="252"/>
      <c r="O19" s="252"/>
    </row>
    <row r="20" spans="1:15" ht="13.5" thickTop="1" thickBot="1">
      <c r="A20" s="852"/>
      <c r="B20" s="16" t="s">
        <v>35</v>
      </c>
      <c r="C20" s="11" t="s">
        <v>165</v>
      </c>
      <c r="D20" s="357">
        <f t="shared" si="4"/>
        <v>5370</v>
      </c>
      <c r="E20" s="358"/>
      <c r="F20" s="356">
        <f>январь!F20+февраль!F20</f>
        <v>5010</v>
      </c>
      <c r="G20" s="356">
        <f>январь!G20+февраль!G20</f>
        <v>360</v>
      </c>
      <c r="H20" s="358"/>
      <c r="I20" s="358"/>
      <c r="J20" s="251">
        <f t="shared" si="5"/>
        <v>4877.9879999999994</v>
      </c>
      <c r="K20" s="252"/>
      <c r="L20" s="356">
        <f>январь!L20+февраль!L20</f>
        <v>4550.7659999999996</v>
      </c>
      <c r="M20" s="356">
        <f>январь!M20+февраль!M20</f>
        <v>327.22199999999998</v>
      </c>
      <c r="N20" s="252"/>
      <c r="O20" s="252"/>
    </row>
    <row r="21" spans="1:15" ht="13.5" thickTop="1" thickBot="1">
      <c r="A21" s="852"/>
      <c r="B21" s="14" t="s">
        <v>36</v>
      </c>
      <c r="C21" s="14" t="s">
        <v>37</v>
      </c>
      <c r="D21" s="354">
        <f t="shared" si="4"/>
        <v>6340</v>
      </c>
      <c r="E21" s="355"/>
      <c r="F21" s="356">
        <f>январь!F21+февраль!F21</f>
        <v>5900</v>
      </c>
      <c r="G21" s="356">
        <f>январь!G21+февраль!G21</f>
        <v>440</v>
      </c>
      <c r="H21" s="355"/>
      <c r="I21" s="355"/>
      <c r="J21" s="247">
        <f t="shared" si="5"/>
        <v>2670.4210000000003</v>
      </c>
      <c r="K21" s="248"/>
      <c r="L21" s="356">
        <f>январь!L21+февраль!L21</f>
        <v>2515.2840000000001</v>
      </c>
      <c r="M21" s="356">
        <f>январь!M21+февраль!M21</f>
        <v>155.137</v>
      </c>
      <c r="N21" s="248"/>
      <c r="O21" s="248"/>
    </row>
    <row r="22" spans="1:15" s="17" customFormat="1" ht="13.5" thickTop="1" thickBot="1">
      <c r="A22" s="852"/>
      <c r="B22" s="172" t="s">
        <v>38</v>
      </c>
      <c r="C22" s="172" t="s">
        <v>39</v>
      </c>
      <c r="D22" s="361">
        <f t="shared" si="4"/>
        <v>772610</v>
      </c>
      <c r="E22" s="361">
        <f>SUM(E23:E25,E28,E29)</f>
        <v>0</v>
      </c>
      <c r="F22" s="361">
        <f>SUM(F23:F25,F28,F29)</f>
        <v>568340</v>
      </c>
      <c r="G22" s="361">
        <f>SUM(G23:G25,G28,G29)</f>
        <v>119120</v>
      </c>
      <c r="H22" s="361">
        <f>SUM(H23:H25,H28,H29)</f>
        <v>85240</v>
      </c>
      <c r="I22" s="361">
        <f>SUM(I23:I25,I28,I29)</f>
        <v>-90</v>
      </c>
      <c r="J22" s="256">
        <f t="shared" si="5"/>
        <v>738470.20600000001</v>
      </c>
      <c r="K22" s="256">
        <f>SUM(K23:K25,K28,K29)</f>
        <v>0</v>
      </c>
      <c r="L22" s="256">
        <f>SUM(L23:L25,L28,L29)</f>
        <v>571682.03899999999</v>
      </c>
      <c r="M22" s="256">
        <f>SUM(M23:M25,M28,M29)</f>
        <v>90789.257999999987</v>
      </c>
      <c r="N22" s="256">
        <f>SUM(N23:N25,N28,N29)</f>
        <v>76073.824000000008</v>
      </c>
      <c r="O22" s="256">
        <f>SUM(O23:O25,O28,O29)</f>
        <v>-74.915000000000006</v>
      </c>
    </row>
    <row r="23" spans="1:15" ht="13.5" thickTop="1" thickBot="1">
      <c r="A23" s="852"/>
      <c r="B23" s="18" t="s">
        <v>40</v>
      </c>
      <c r="C23" s="18" t="s">
        <v>41</v>
      </c>
      <c r="D23" s="354">
        <f t="shared" si="4"/>
        <v>0</v>
      </c>
      <c r="E23" s="354">
        <f t="shared" ref="E23:I28" si="6">E7-E16</f>
        <v>0</v>
      </c>
      <c r="F23" s="354">
        <f t="shared" si="6"/>
        <v>0</v>
      </c>
      <c r="G23" s="354">
        <f t="shared" si="6"/>
        <v>0</v>
      </c>
      <c r="H23" s="354">
        <f t="shared" si="6"/>
        <v>0</v>
      </c>
      <c r="I23" s="354">
        <f t="shared" si="6"/>
        <v>0</v>
      </c>
      <c r="J23" s="247">
        <f t="shared" si="5"/>
        <v>0</v>
      </c>
      <c r="K23" s="247">
        <f t="shared" ref="K23:O28" si="7">K7-K16</f>
        <v>0</v>
      </c>
      <c r="L23" s="247">
        <f t="shared" si="7"/>
        <v>0</v>
      </c>
      <c r="M23" s="247">
        <f t="shared" si="7"/>
        <v>0</v>
      </c>
      <c r="N23" s="247">
        <f t="shared" si="7"/>
        <v>0</v>
      </c>
      <c r="O23" s="247">
        <f t="shared" si="7"/>
        <v>0</v>
      </c>
    </row>
    <row r="24" spans="1:15" ht="13.5" thickTop="1" thickBot="1">
      <c r="A24" s="852"/>
      <c r="B24" s="9" t="s">
        <v>42</v>
      </c>
      <c r="C24" s="9" t="s">
        <v>43</v>
      </c>
      <c r="D24" s="354">
        <f t="shared" si="4"/>
        <v>274050</v>
      </c>
      <c r="E24" s="354">
        <f t="shared" si="6"/>
        <v>0</v>
      </c>
      <c r="F24" s="354">
        <f t="shared" si="6"/>
        <v>157880</v>
      </c>
      <c r="G24" s="354">
        <f t="shared" si="6"/>
        <v>37860</v>
      </c>
      <c r="H24" s="354">
        <f t="shared" si="6"/>
        <v>78400</v>
      </c>
      <c r="I24" s="354">
        <f t="shared" si="6"/>
        <v>-90</v>
      </c>
      <c r="J24" s="247">
        <f t="shared" si="5"/>
        <v>178174.39299999998</v>
      </c>
      <c r="K24" s="247">
        <f t="shared" si="7"/>
        <v>0</v>
      </c>
      <c r="L24" s="247">
        <f t="shared" si="7"/>
        <v>77301.498999999982</v>
      </c>
      <c r="M24" s="247">
        <f t="shared" si="7"/>
        <v>30646.920999999998</v>
      </c>
      <c r="N24" s="247">
        <f t="shared" si="7"/>
        <v>70300.888000000006</v>
      </c>
      <c r="O24" s="247">
        <f t="shared" si="7"/>
        <v>-74.915000000000006</v>
      </c>
    </row>
    <row r="25" spans="1:15" ht="13.5" thickTop="1" thickBot="1">
      <c r="A25" s="852"/>
      <c r="B25" s="9" t="s">
        <v>44</v>
      </c>
      <c r="C25" s="9" t="s">
        <v>45</v>
      </c>
      <c r="D25" s="354">
        <f t="shared" si="4"/>
        <v>28680</v>
      </c>
      <c r="E25" s="354">
        <f t="shared" si="6"/>
        <v>0</v>
      </c>
      <c r="F25" s="354">
        <f t="shared" si="6"/>
        <v>29040</v>
      </c>
      <c r="G25" s="354">
        <f t="shared" si="6"/>
        <v>-360</v>
      </c>
      <c r="H25" s="354">
        <f t="shared" si="6"/>
        <v>0</v>
      </c>
      <c r="I25" s="354">
        <f t="shared" si="6"/>
        <v>0</v>
      </c>
      <c r="J25" s="247">
        <f t="shared" si="5"/>
        <v>27487.007999999998</v>
      </c>
      <c r="K25" s="247">
        <f t="shared" si="7"/>
        <v>0</v>
      </c>
      <c r="L25" s="247">
        <f t="shared" si="7"/>
        <v>27814.23</v>
      </c>
      <c r="M25" s="247">
        <f t="shared" si="7"/>
        <v>-327.22199999999998</v>
      </c>
      <c r="N25" s="247">
        <f t="shared" si="7"/>
        <v>0</v>
      </c>
      <c r="O25" s="247">
        <f t="shared" si="7"/>
        <v>0</v>
      </c>
    </row>
    <row r="26" spans="1:15" ht="13.5" thickTop="1" thickBot="1">
      <c r="A26" s="852"/>
      <c r="B26" s="10" t="s">
        <v>46</v>
      </c>
      <c r="C26" s="11" t="s">
        <v>164</v>
      </c>
      <c r="D26" s="354">
        <f t="shared" si="4"/>
        <v>31900</v>
      </c>
      <c r="E26" s="357">
        <f t="shared" si="6"/>
        <v>0</v>
      </c>
      <c r="F26" s="357">
        <f t="shared" si="6"/>
        <v>31900</v>
      </c>
      <c r="G26" s="357">
        <f t="shared" si="6"/>
        <v>0</v>
      </c>
      <c r="H26" s="357">
        <f t="shared" si="6"/>
        <v>0</v>
      </c>
      <c r="I26" s="357">
        <f t="shared" si="6"/>
        <v>0</v>
      </c>
      <c r="J26" s="247">
        <f t="shared" si="5"/>
        <v>30534.485999999997</v>
      </c>
      <c r="K26" s="251">
        <f t="shared" si="7"/>
        <v>0</v>
      </c>
      <c r="L26" s="251">
        <f t="shared" si="7"/>
        <v>30534.485999999997</v>
      </c>
      <c r="M26" s="251">
        <f t="shared" si="7"/>
        <v>0</v>
      </c>
      <c r="N26" s="251">
        <f t="shared" si="7"/>
        <v>0</v>
      </c>
      <c r="O26" s="251">
        <f t="shared" si="7"/>
        <v>0</v>
      </c>
    </row>
    <row r="27" spans="1:15" ht="13.5" thickTop="1" thickBot="1">
      <c r="A27" s="852"/>
      <c r="B27" s="10" t="s">
        <v>47</v>
      </c>
      <c r="C27" s="11" t="s">
        <v>165</v>
      </c>
      <c r="D27" s="354">
        <f t="shared" si="4"/>
        <v>-3220</v>
      </c>
      <c r="E27" s="357">
        <f t="shared" si="6"/>
        <v>0</v>
      </c>
      <c r="F27" s="357">
        <f t="shared" si="6"/>
        <v>-2860</v>
      </c>
      <c r="G27" s="357">
        <f t="shared" si="6"/>
        <v>-360</v>
      </c>
      <c r="H27" s="357">
        <f t="shared" si="6"/>
        <v>0</v>
      </c>
      <c r="I27" s="357">
        <f t="shared" si="6"/>
        <v>0</v>
      </c>
      <c r="J27" s="247">
        <f t="shared" si="5"/>
        <v>-3047.4779999999992</v>
      </c>
      <c r="K27" s="251">
        <f t="shared" si="7"/>
        <v>0</v>
      </c>
      <c r="L27" s="251">
        <f t="shared" si="7"/>
        <v>-2720.2559999999994</v>
      </c>
      <c r="M27" s="251">
        <f t="shared" si="7"/>
        <v>-327.22199999999998</v>
      </c>
      <c r="N27" s="251">
        <f t="shared" si="7"/>
        <v>0</v>
      </c>
      <c r="O27" s="251">
        <f t="shared" si="7"/>
        <v>0</v>
      </c>
    </row>
    <row r="28" spans="1:15" ht="13.5" thickTop="1" thickBot="1">
      <c r="A28" s="852"/>
      <c r="B28" s="9" t="s">
        <v>48</v>
      </c>
      <c r="C28" s="9" t="s">
        <v>49</v>
      </c>
      <c r="D28" s="354">
        <f t="shared" si="4"/>
        <v>464980</v>
      </c>
      <c r="E28" s="354">
        <f t="shared" si="6"/>
        <v>0</v>
      </c>
      <c r="F28" s="354">
        <f t="shared" si="6"/>
        <v>381420</v>
      </c>
      <c r="G28" s="354">
        <f t="shared" si="6"/>
        <v>76720</v>
      </c>
      <c r="H28" s="354">
        <f t="shared" si="6"/>
        <v>6840</v>
      </c>
      <c r="I28" s="354">
        <f t="shared" si="6"/>
        <v>0</v>
      </c>
      <c r="J28" s="247">
        <f t="shared" si="5"/>
        <v>532385.005</v>
      </c>
      <c r="K28" s="247">
        <f t="shared" si="7"/>
        <v>0</v>
      </c>
      <c r="L28" s="247">
        <f t="shared" si="7"/>
        <v>466566.31</v>
      </c>
      <c r="M28" s="247">
        <f t="shared" si="7"/>
        <v>60045.758999999991</v>
      </c>
      <c r="N28" s="247">
        <f t="shared" si="7"/>
        <v>5772.9359999999997</v>
      </c>
      <c r="O28" s="247">
        <f t="shared" si="7"/>
        <v>0</v>
      </c>
    </row>
    <row r="29" spans="1:15" ht="13.5" thickTop="1" thickBot="1">
      <c r="A29" s="852"/>
      <c r="B29" s="19" t="s">
        <v>50</v>
      </c>
      <c r="C29" s="19" t="s">
        <v>25</v>
      </c>
      <c r="D29" s="354">
        <f t="shared" si="4"/>
        <v>4900</v>
      </c>
      <c r="E29" s="354">
        <f>E14</f>
        <v>0</v>
      </c>
      <c r="F29" s="354">
        <f>F14</f>
        <v>0</v>
      </c>
      <c r="G29" s="354">
        <f>G14</f>
        <v>4900</v>
      </c>
      <c r="H29" s="354">
        <f>H14</f>
        <v>0</v>
      </c>
      <c r="I29" s="354">
        <f>I14</f>
        <v>0</v>
      </c>
      <c r="J29" s="247">
        <f t="shared" si="5"/>
        <v>423.79999999999973</v>
      </c>
      <c r="K29" s="247">
        <f>K14</f>
        <v>0</v>
      </c>
      <c r="L29" s="247">
        <f>L14</f>
        <v>0</v>
      </c>
      <c r="M29" s="247">
        <f>M14</f>
        <v>423.79999999999973</v>
      </c>
      <c r="N29" s="247">
        <f>N14</f>
        <v>0</v>
      </c>
      <c r="O29" s="247">
        <f>O14</f>
        <v>0</v>
      </c>
    </row>
    <row r="30" spans="1:15" ht="13.5" thickTop="1" thickBot="1">
      <c r="A30" s="852" t="s">
        <v>51</v>
      </c>
      <c r="B30" s="7" t="s">
        <v>52</v>
      </c>
      <c r="C30" s="7" t="s">
        <v>53</v>
      </c>
      <c r="D30" s="362">
        <f>SUM(F30:I30)</f>
        <v>917915</v>
      </c>
      <c r="E30" s="362"/>
      <c r="F30" s="362">
        <f>SUM(F31:F33)</f>
        <v>0</v>
      </c>
      <c r="G30" s="362">
        <f>SUM(G31:G33)</f>
        <v>117345</v>
      </c>
      <c r="H30" s="362">
        <f>SUM(H31:H33)</f>
        <v>486540</v>
      </c>
      <c r="I30" s="362">
        <f>SUM(I31:I33)</f>
        <v>314030</v>
      </c>
      <c r="J30" s="258">
        <f>SUM(L30:O30)</f>
        <v>920139.69760000007</v>
      </c>
      <c r="K30" s="258"/>
      <c r="L30" s="258">
        <f>SUM(L31:L33)</f>
        <v>0</v>
      </c>
      <c r="M30" s="258">
        <f>SUM(M31:M33)</f>
        <v>120715.11199999999</v>
      </c>
      <c r="N30" s="258">
        <f>SUM(N31:N33)</f>
        <v>472410.98260000005</v>
      </c>
      <c r="O30" s="258">
        <f>SUM(O31:O33)</f>
        <v>327013.603</v>
      </c>
    </row>
    <row r="31" spans="1:15" ht="13.5" thickTop="1" thickBot="1">
      <c r="A31" s="852"/>
      <c r="B31" s="8" t="s">
        <v>54</v>
      </c>
      <c r="C31" s="8" t="s">
        <v>55</v>
      </c>
      <c r="D31" s="354">
        <f t="shared" ref="D31:D43" si="8">SUM(E31:I31)</f>
        <v>391150</v>
      </c>
      <c r="E31" s="363"/>
      <c r="F31" s="364"/>
      <c r="G31" s="354">
        <f>F36</f>
        <v>117345</v>
      </c>
      <c r="H31" s="354">
        <f>F37</f>
        <v>273805</v>
      </c>
      <c r="I31" s="363"/>
      <c r="J31" s="247">
        <f t="shared" ref="J31:J43" si="9">SUM(K31:O31)</f>
        <v>402383.70559999999</v>
      </c>
      <c r="K31" s="259"/>
      <c r="L31" s="260"/>
      <c r="M31" s="247">
        <f>L36</f>
        <v>120715.11199999999</v>
      </c>
      <c r="N31" s="247">
        <f>L37</f>
        <v>281668.59360000002</v>
      </c>
      <c r="O31" s="259"/>
    </row>
    <row r="32" spans="1:15" ht="13.5" thickTop="1" thickBot="1">
      <c r="A32" s="852"/>
      <c r="B32" s="9" t="s">
        <v>56</v>
      </c>
      <c r="C32" s="9" t="s">
        <v>57</v>
      </c>
      <c r="D32" s="354">
        <f t="shared" si="8"/>
        <v>212735</v>
      </c>
      <c r="E32" s="363"/>
      <c r="F32" s="363"/>
      <c r="G32" s="363"/>
      <c r="H32" s="354">
        <f>G37</f>
        <v>212735</v>
      </c>
      <c r="I32" s="364">
        <f>G43</f>
        <v>0</v>
      </c>
      <c r="J32" s="247">
        <f t="shared" si="9"/>
        <v>190742.38900000002</v>
      </c>
      <c r="K32" s="259"/>
      <c r="L32" s="259"/>
      <c r="M32" s="259"/>
      <c r="N32" s="247">
        <f>M37</f>
        <v>190742.38900000002</v>
      </c>
      <c r="O32" s="260">
        <f>M43</f>
        <v>0</v>
      </c>
    </row>
    <row r="33" spans="1:15" ht="13.5" thickTop="1" thickBot="1">
      <c r="A33" s="852"/>
      <c r="B33" s="14" t="s">
        <v>58</v>
      </c>
      <c r="C33" s="14" t="s">
        <v>59</v>
      </c>
      <c r="D33" s="354">
        <f t="shared" si="8"/>
        <v>314030</v>
      </c>
      <c r="E33" s="363"/>
      <c r="F33" s="363"/>
      <c r="G33" s="363"/>
      <c r="H33" s="363"/>
      <c r="I33" s="354">
        <f>G38+H38</f>
        <v>314030</v>
      </c>
      <c r="J33" s="247">
        <f t="shared" si="9"/>
        <v>327013.603</v>
      </c>
      <c r="K33" s="259"/>
      <c r="L33" s="259"/>
      <c r="M33" s="259"/>
      <c r="N33" s="259"/>
      <c r="O33" s="247">
        <f>M38+N38</f>
        <v>327013.603</v>
      </c>
    </row>
    <row r="34" spans="1:15" ht="13.5" thickTop="1" thickBot="1">
      <c r="A34" s="852"/>
      <c r="B34" s="15" t="s">
        <v>60</v>
      </c>
      <c r="C34" s="15" t="s">
        <v>61</v>
      </c>
      <c r="D34" s="362">
        <f t="shared" si="8"/>
        <v>917915</v>
      </c>
      <c r="E34" s="362"/>
      <c r="F34" s="362">
        <f>SUM(F35:F38)</f>
        <v>391150</v>
      </c>
      <c r="G34" s="362">
        <f>SUM(G35:G38)</f>
        <v>212735</v>
      </c>
      <c r="H34" s="362">
        <f>SUM(H35:H38)</f>
        <v>314030</v>
      </c>
      <c r="I34" s="285">
        <f>SUM(I35:I38)</f>
        <v>0</v>
      </c>
      <c r="J34" s="258">
        <f t="shared" si="9"/>
        <v>920139.69759999996</v>
      </c>
      <c r="K34" s="258"/>
      <c r="L34" s="258">
        <f>SUM(L35:L38)</f>
        <v>402383.70559999999</v>
      </c>
      <c r="M34" s="258">
        <f>SUM(M35:M38)</f>
        <v>190742.38900000002</v>
      </c>
      <c r="N34" s="258">
        <f>SUM(N35:N38)</f>
        <v>327013.603</v>
      </c>
      <c r="O34" s="261">
        <f>SUM(O35:O38)</f>
        <v>0</v>
      </c>
    </row>
    <row r="35" spans="1:15" ht="13.5" thickTop="1" thickBot="1">
      <c r="A35" s="852"/>
      <c r="B35" s="8" t="s">
        <v>62</v>
      </c>
      <c r="C35" s="8" t="s">
        <v>63</v>
      </c>
      <c r="D35" s="354">
        <f t="shared" si="8"/>
        <v>0</v>
      </c>
      <c r="E35" s="364"/>
      <c r="F35" s="363"/>
      <c r="G35" s="363"/>
      <c r="H35" s="363"/>
      <c r="I35" s="363"/>
      <c r="J35" s="247">
        <f t="shared" si="9"/>
        <v>0</v>
      </c>
      <c r="K35" s="260"/>
      <c r="L35" s="259"/>
      <c r="M35" s="259"/>
      <c r="N35" s="259"/>
      <c r="O35" s="259"/>
    </row>
    <row r="36" spans="1:15" ht="13.5" thickTop="1" thickBot="1">
      <c r="A36" s="852"/>
      <c r="B36" s="9" t="s">
        <v>64</v>
      </c>
      <c r="C36" s="9" t="s">
        <v>65</v>
      </c>
      <c r="D36" s="354">
        <f t="shared" si="8"/>
        <v>117345</v>
      </c>
      <c r="E36" s="354"/>
      <c r="F36" s="356">
        <f>январь!F36+февраль!F36</f>
        <v>117345</v>
      </c>
      <c r="G36" s="259"/>
      <c r="H36" s="259"/>
      <c r="I36" s="363"/>
      <c r="J36" s="247">
        <f t="shared" si="9"/>
        <v>120715.11199999999</v>
      </c>
      <c r="K36" s="247"/>
      <c r="L36" s="356">
        <f>январь!L36+февраль!L36</f>
        <v>120715.11199999999</v>
      </c>
      <c r="M36" s="259"/>
      <c r="N36" s="259"/>
      <c r="O36" s="259"/>
    </row>
    <row r="37" spans="1:15" ht="13.5" thickTop="1" thickBot="1">
      <c r="A37" s="852"/>
      <c r="B37" s="9" t="s">
        <v>66</v>
      </c>
      <c r="C37" s="9" t="s">
        <v>67</v>
      </c>
      <c r="D37" s="354">
        <f t="shared" si="8"/>
        <v>486540</v>
      </c>
      <c r="E37" s="354"/>
      <c r="F37" s="356">
        <f>январь!F37+февраль!F37</f>
        <v>273805</v>
      </c>
      <c r="G37" s="356">
        <f>январь!G37+февраль!G37</f>
        <v>212735</v>
      </c>
      <c r="H37" s="259"/>
      <c r="I37" s="363"/>
      <c r="J37" s="247">
        <f t="shared" si="9"/>
        <v>472410.98260000005</v>
      </c>
      <c r="K37" s="247"/>
      <c r="L37" s="356">
        <f>январь!L37+февраль!L37</f>
        <v>281668.59360000002</v>
      </c>
      <c r="M37" s="356">
        <f>январь!M37+февраль!M37</f>
        <v>190742.38900000002</v>
      </c>
      <c r="N37" s="259"/>
      <c r="O37" s="259"/>
    </row>
    <row r="38" spans="1:15" ht="13.5" thickTop="1" thickBot="1">
      <c r="A38" s="852"/>
      <c r="B38" s="14" t="s">
        <v>68</v>
      </c>
      <c r="C38" s="14" t="s">
        <v>69</v>
      </c>
      <c r="D38" s="354">
        <f t="shared" si="8"/>
        <v>314030</v>
      </c>
      <c r="E38" s="363"/>
      <c r="F38" s="259"/>
      <c r="G38" s="260"/>
      <c r="H38" s="356">
        <f>январь!H38+февраль!H38</f>
        <v>314030</v>
      </c>
      <c r="I38" s="363"/>
      <c r="J38" s="247">
        <f t="shared" si="9"/>
        <v>327013.603</v>
      </c>
      <c r="K38" s="259"/>
      <c r="L38" s="259"/>
      <c r="M38" s="260"/>
      <c r="N38" s="356">
        <f>январь!N38+февраль!N38</f>
        <v>327013.603</v>
      </c>
      <c r="O38" s="259"/>
    </row>
    <row r="39" spans="1:15" s="17" customFormat="1" ht="13.5" thickTop="1" thickBot="1">
      <c r="A39" s="852"/>
      <c r="B39" s="172" t="s">
        <v>70</v>
      </c>
      <c r="C39" s="172" t="s">
        <v>71</v>
      </c>
      <c r="D39" s="365">
        <f t="shared" si="8"/>
        <v>0</v>
      </c>
      <c r="E39" s="365"/>
      <c r="F39" s="365">
        <f>SUM(F40:F43)</f>
        <v>-391150</v>
      </c>
      <c r="G39" s="365">
        <f>SUM(G40:G43)</f>
        <v>-95390</v>
      </c>
      <c r="H39" s="365">
        <f>SUM(H40:H43)</f>
        <v>172510</v>
      </c>
      <c r="I39" s="365">
        <f>SUM(I40:I43)</f>
        <v>314030</v>
      </c>
      <c r="J39" s="262">
        <f t="shared" si="9"/>
        <v>0</v>
      </c>
      <c r="K39" s="262"/>
      <c r="L39" s="262">
        <f>SUM(L40:L43)</f>
        <v>-402383.70559999999</v>
      </c>
      <c r="M39" s="262">
        <f>SUM(M40:M43)</f>
        <v>-70027.277000000031</v>
      </c>
      <c r="N39" s="262">
        <f>SUM(N40:N43)</f>
        <v>145397.37960000004</v>
      </c>
      <c r="O39" s="262">
        <f>SUM(O40:O43)</f>
        <v>327013.603</v>
      </c>
    </row>
    <row r="40" spans="1:15" ht="13.5" thickTop="1" thickBot="1">
      <c r="A40" s="852"/>
      <c r="B40" s="18" t="s">
        <v>72</v>
      </c>
      <c r="C40" s="18" t="s">
        <v>5</v>
      </c>
      <c r="D40" s="366">
        <f t="shared" si="8"/>
        <v>391150</v>
      </c>
      <c r="E40" s="367"/>
      <c r="F40" s="367">
        <f>F31-F35</f>
        <v>0</v>
      </c>
      <c r="G40" s="367">
        <f>G31-G35</f>
        <v>117345</v>
      </c>
      <c r="H40" s="367">
        <f>H31-H35</f>
        <v>273805</v>
      </c>
      <c r="I40" s="368"/>
      <c r="J40" s="264">
        <f t="shared" si="9"/>
        <v>402383.70559999999</v>
      </c>
      <c r="K40" s="265"/>
      <c r="L40" s="265">
        <f>L31-L35</f>
        <v>0</v>
      </c>
      <c r="M40" s="265">
        <f>M31-M35</f>
        <v>120715.11199999999</v>
      </c>
      <c r="N40" s="265">
        <f>N31-N35</f>
        <v>281668.59360000002</v>
      </c>
      <c r="O40" s="266"/>
    </row>
    <row r="41" spans="1:15" ht="13.5" thickTop="1" thickBot="1">
      <c r="A41" s="852"/>
      <c r="B41" s="9" t="s">
        <v>73</v>
      </c>
      <c r="C41" s="9" t="s">
        <v>74</v>
      </c>
      <c r="D41" s="366">
        <f t="shared" si="8"/>
        <v>95390</v>
      </c>
      <c r="E41" s="367">
        <f>E32-E36</f>
        <v>0</v>
      </c>
      <c r="F41" s="367">
        <f>F32-F36</f>
        <v>-117345</v>
      </c>
      <c r="G41" s="368"/>
      <c r="H41" s="367">
        <f>H32-H36</f>
        <v>212735</v>
      </c>
      <c r="I41" s="368"/>
      <c r="J41" s="264">
        <f t="shared" si="9"/>
        <v>70027.277000000031</v>
      </c>
      <c r="K41" s="265">
        <f>K32-K36</f>
        <v>0</v>
      </c>
      <c r="L41" s="265">
        <f>L32-L36</f>
        <v>-120715.11199999999</v>
      </c>
      <c r="M41" s="266"/>
      <c r="N41" s="265">
        <f>N32-N36</f>
        <v>190742.38900000002</v>
      </c>
      <c r="O41" s="266"/>
    </row>
    <row r="42" spans="1:15" ht="13.5" thickTop="1" thickBot="1">
      <c r="A42" s="852"/>
      <c r="B42" s="9" t="s">
        <v>75</v>
      </c>
      <c r="C42" s="9" t="s">
        <v>76</v>
      </c>
      <c r="D42" s="366">
        <f t="shared" si="8"/>
        <v>-172510</v>
      </c>
      <c r="E42" s="367">
        <f>E33-E37</f>
        <v>0</v>
      </c>
      <c r="F42" s="367">
        <f>F33-F37</f>
        <v>-273805</v>
      </c>
      <c r="G42" s="367">
        <f>G33-G37</f>
        <v>-212735</v>
      </c>
      <c r="H42" s="368"/>
      <c r="I42" s="367">
        <f>I33-I37</f>
        <v>314030</v>
      </c>
      <c r="J42" s="264">
        <f t="shared" si="9"/>
        <v>-145397.37960000004</v>
      </c>
      <c r="K42" s="265">
        <f>K33-K37</f>
        <v>0</v>
      </c>
      <c r="L42" s="265">
        <f>L33-L37</f>
        <v>-281668.59360000002</v>
      </c>
      <c r="M42" s="265">
        <f>M33-M37</f>
        <v>-190742.38900000002</v>
      </c>
      <c r="N42" s="266"/>
      <c r="O42" s="265">
        <f>O33-O37</f>
        <v>327013.603</v>
      </c>
    </row>
    <row r="43" spans="1:15" ht="13.5" thickTop="1" thickBot="1">
      <c r="A43" s="852"/>
      <c r="B43" s="20" t="s">
        <v>77</v>
      </c>
      <c r="C43" s="20" t="s">
        <v>8</v>
      </c>
      <c r="D43" s="367">
        <f t="shared" si="8"/>
        <v>-314030</v>
      </c>
      <c r="E43" s="368"/>
      <c r="F43" s="368"/>
      <c r="G43" s="367"/>
      <c r="H43" s="367">
        <f>-H38</f>
        <v>-314030</v>
      </c>
      <c r="I43" s="368"/>
      <c r="J43" s="265">
        <f t="shared" si="9"/>
        <v>-327013.603</v>
      </c>
      <c r="K43" s="266"/>
      <c r="L43" s="266"/>
      <c r="M43" s="265"/>
      <c r="N43" s="265">
        <f>-N38</f>
        <v>-327013.603</v>
      </c>
      <c r="O43" s="266"/>
    </row>
    <row r="44" spans="1:15" ht="13.5" thickTop="1" thickBot="1">
      <c r="A44" s="21"/>
      <c r="B44" s="22" t="s">
        <v>78</v>
      </c>
      <c r="C44" s="22" t="s">
        <v>79</v>
      </c>
      <c r="D44" s="201">
        <f>D22</f>
        <v>772610</v>
      </c>
      <c r="E44" s="201">
        <f>E22+E30</f>
        <v>0</v>
      </c>
      <c r="F44" s="201">
        <f>F22+F30</f>
        <v>568340</v>
      </c>
      <c r="G44" s="201">
        <f>G22+G30</f>
        <v>236465</v>
      </c>
      <c r="H44" s="201">
        <f>H22+H30</f>
        <v>571780</v>
      </c>
      <c r="I44" s="201">
        <f>I22+I30</f>
        <v>313940</v>
      </c>
      <c r="J44" s="201">
        <f>J22</f>
        <v>738470.20600000001</v>
      </c>
      <c r="K44" s="201">
        <f>K22+K30</f>
        <v>0</v>
      </c>
      <c r="L44" s="201">
        <f>L22+L30</f>
        <v>571682.03899999999</v>
      </c>
      <c r="M44" s="201">
        <f>M22+M30</f>
        <v>211504.37</v>
      </c>
      <c r="N44" s="201">
        <f>N22+N30</f>
        <v>548484.80660000001</v>
      </c>
      <c r="O44" s="201">
        <f>O22+O30</f>
        <v>326938.68800000002</v>
      </c>
    </row>
    <row r="45" spans="1:15" ht="13.5" thickTop="1" thickBot="1">
      <c r="A45" s="21"/>
      <c r="B45" s="23" t="s">
        <v>80</v>
      </c>
      <c r="C45" s="23" t="s">
        <v>81</v>
      </c>
      <c r="D45" s="203">
        <f>D44</f>
        <v>772610</v>
      </c>
      <c r="E45" s="203">
        <f>E143+E151+E34</f>
        <v>0</v>
      </c>
      <c r="F45" s="203">
        <f>F143+F151+F34-G49-H49-G73-H73-G78-H78-H54-H97-H109-G97-G102-H102-G109-G114-H114-G121-H121-G126-H126-G133-H133</f>
        <v>568340</v>
      </c>
      <c r="G45" s="203">
        <f>G143+G151+G34-H50-I50-H55-I55-H62-I62-H67-I67-H98-H74-H79-H86-H91-H103-H110-H115-H122-H127-H134</f>
        <v>227669.9</v>
      </c>
      <c r="H45" s="203">
        <f>H143+H151+H34-I51-I56-I63-I68-I75-I80-I87-I92-I99-I104-I111-I116-I123-I128</f>
        <v>520938.6</v>
      </c>
      <c r="I45" s="203">
        <f>I151+I143</f>
        <v>310730</v>
      </c>
      <c r="J45" s="203">
        <f>J44</f>
        <v>738470.20600000001</v>
      </c>
      <c r="K45" s="203">
        <f>K143+K151+K34</f>
        <v>0</v>
      </c>
      <c r="L45" s="203">
        <f>L143+L151+L34-M49-N49-M73-N73-M78-N78-N54-N97-N109-M97-M102-N102-M109-M114-N114-M121-N121-M126-N126-M133-N133</f>
        <v>571682.03899999987</v>
      </c>
      <c r="M45" s="203">
        <f>M143+M151+M34-N50-O50-N55-O55-N62-O62-N67-O67-N98-N74-N79-N86-N91-N103-N110-N115-N122-N127-N134</f>
        <v>204352.09100000001</v>
      </c>
      <c r="N45" s="203">
        <f>N143+N151+N34-O51-O56-O63-O68-O75-O80-O87-O92-O99-O104-O111-O116-O123-O128</f>
        <v>500210.21059999999</v>
      </c>
      <c r="O45" s="203">
        <f>O151+O143</f>
        <v>323887.35199999996</v>
      </c>
    </row>
    <row r="46" spans="1:15" ht="13.5" thickTop="1" thickBot="1">
      <c r="A46" s="852" t="s">
        <v>82</v>
      </c>
      <c r="B46" s="7" t="s">
        <v>83</v>
      </c>
      <c r="C46" s="7" t="s">
        <v>84</v>
      </c>
      <c r="D46" s="181">
        <f>SUM(E46:I46)</f>
        <v>605790</v>
      </c>
      <c r="E46" s="322">
        <f>E47+E59+E71+E83+E95</f>
        <v>0</v>
      </c>
      <c r="F46" s="322">
        <f>F47+F59+F71+F83+F95+F107+F119+F131</f>
        <v>148680</v>
      </c>
      <c r="G46" s="322">
        <f>G47+G59+G71+G83+G95+G107+G119+G131</f>
        <v>10430</v>
      </c>
      <c r="H46" s="322">
        <f>H47+H59+H71+H83+H95+H107+H119+H131</f>
        <v>206890</v>
      </c>
      <c r="I46" s="322">
        <f>I47+I59+I71+I83+I95+I107+I119+I131</f>
        <v>239790</v>
      </c>
      <c r="J46" s="181">
        <f>SUM(K46:O46)</f>
        <v>563197.83100000001</v>
      </c>
      <c r="K46" s="322">
        <f>K47+K59+K71+K83+K95</f>
        <v>0</v>
      </c>
      <c r="L46" s="322">
        <f>L47+L59+L71+L83+L95+L107+L119+L131</f>
        <v>140744.481</v>
      </c>
      <c r="M46" s="322">
        <f>M47+M59+M71+M83+M95+M107+M119+M131</f>
        <v>9449.616</v>
      </c>
      <c r="N46" s="322">
        <f>N47+N59+N71+N83+N95+N107+N119+N131</f>
        <v>174534.005</v>
      </c>
      <c r="O46" s="322">
        <f>O47+O59+O71+O83+O95+O107+O119+O131</f>
        <v>238469.72900000002</v>
      </c>
    </row>
    <row r="47" spans="1:15" s="3" customFormat="1" ht="13.5" thickTop="1" thickBot="1">
      <c r="A47" s="852"/>
      <c r="B47" s="270" t="s">
        <v>85</v>
      </c>
      <c r="C47" s="271" t="s">
        <v>86</v>
      </c>
      <c r="D47" s="369">
        <f t="shared" ref="D47:D77" si="10">SUM(E47:I47)</f>
        <v>431800</v>
      </c>
      <c r="E47" s="356">
        <f>январь!E47+февраль!E47</f>
        <v>0</v>
      </c>
      <c r="F47" s="356">
        <f>январь!F47+февраль!F47</f>
        <v>1430</v>
      </c>
      <c r="G47" s="356">
        <f>январь!G47+февраль!G47</f>
        <v>2450</v>
      </c>
      <c r="H47" s="356">
        <f>январь!H47+февраль!H47</f>
        <v>189380</v>
      </c>
      <c r="I47" s="356">
        <f>январь!I47+февраль!I47</f>
        <v>238540</v>
      </c>
      <c r="J47" s="272">
        <f t="shared" ref="J47:J75" si="11">SUM(K47:O47)</f>
        <v>405465.82800000004</v>
      </c>
      <c r="K47" s="356">
        <f>январь!K47+февраль!K47</f>
        <v>0</v>
      </c>
      <c r="L47" s="356">
        <f>январь!L47+февраль!L47</f>
        <v>2699.7240000000029</v>
      </c>
      <c r="M47" s="356">
        <f>январь!M47+февраль!M47</f>
        <v>2297.337</v>
      </c>
      <c r="N47" s="356">
        <f>январь!N47+февраль!N47</f>
        <v>163302.47200000001</v>
      </c>
      <c r="O47" s="356">
        <f>январь!O47+февраль!O47</f>
        <v>237166.29500000001</v>
      </c>
    </row>
    <row r="48" spans="1:15" ht="13.5" thickTop="1" thickBot="1">
      <c r="A48" s="852"/>
      <c r="B48" s="263" t="s">
        <v>87</v>
      </c>
      <c r="C48" s="263" t="s">
        <v>88</v>
      </c>
      <c r="D48" s="367">
        <f t="shared" si="10"/>
        <v>0</v>
      </c>
      <c r="E48" s="367"/>
      <c r="F48" s="367"/>
      <c r="G48" s="367"/>
      <c r="H48" s="367"/>
      <c r="I48" s="367"/>
      <c r="J48" s="265">
        <f t="shared" si="11"/>
        <v>0</v>
      </c>
      <c r="K48" s="265"/>
      <c r="L48" s="438"/>
      <c r="M48" s="265"/>
      <c r="N48" s="265"/>
      <c r="O48" s="265"/>
    </row>
    <row r="49" spans="1:15" ht="13.5" thickTop="1" thickBot="1">
      <c r="A49" s="852"/>
      <c r="B49" s="275"/>
      <c r="C49" s="276" t="s">
        <v>89</v>
      </c>
      <c r="D49" s="371">
        <f t="shared" si="10"/>
        <v>26900</v>
      </c>
      <c r="E49" s="372"/>
      <c r="F49" s="372"/>
      <c r="G49" s="371"/>
      <c r="H49" s="356">
        <f>январь!H49+февраль!H49</f>
        <v>26900</v>
      </c>
      <c r="I49" s="372"/>
      <c r="J49" s="277">
        <f t="shared" si="11"/>
        <v>33457.277999999998</v>
      </c>
      <c r="K49" s="278"/>
      <c r="L49" s="439"/>
      <c r="M49" s="277"/>
      <c r="N49" s="356">
        <f>январь!N49+февраль!N49</f>
        <v>33457.277999999998</v>
      </c>
      <c r="O49" s="278"/>
    </row>
    <row r="50" spans="1:15" ht="13.5" thickTop="1" thickBot="1">
      <c r="A50" s="852"/>
      <c r="B50" s="275"/>
      <c r="C50" s="276" t="s">
        <v>90</v>
      </c>
      <c r="D50" s="371">
        <f t="shared" si="10"/>
        <v>3400</v>
      </c>
      <c r="E50" s="372"/>
      <c r="F50" s="372"/>
      <c r="G50" s="372"/>
      <c r="H50" s="356">
        <f>январь!H50+февраль!H50</f>
        <v>3400</v>
      </c>
      <c r="I50" s="371"/>
      <c r="J50" s="277">
        <f t="shared" si="11"/>
        <v>1371.8539999999998</v>
      </c>
      <c r="K50" s="278"/>
      <c r="L50" s="439"/>
      <c r="M50" s="278"/>
      <c r="N50" s="356">
        <f>январь!N50+февраль!N50</f>
        <v>1371.8539999999998</v>
      </c>
      <c r="O50" s="277"/>
    </row>
    <row r="51" spans="1:15" ht="13.5" thickTop="1" thickBot="1">
      <c r="A51" s="852"/>
      <c r="B51" s="275"/>
      <c r="C51" s="276" t="s">
        <v>91</v>
      </c>
      <c r="D51" s="371">
        <f t="shared" si="10"/>
        <v>0</v>
      </c>
      <c r="E51" s="372"/>
      <c r="F51" s="372"/>
      <c r="G51" s="372"/>
      <c r="H51" s="372"/>
      <c r="I51" s="371"/>
      <c r="J51" s="277">
        <f t="shared" si="11"/>
        <v>0</v>
      </c>
      <c r="K51" s="278"/>
      <c r="L51" s="439"/>
      <c r="M51" s="278"/>
      <c r="N51" s="278"/>
      <c r="O51" s="277"/>
    </row>
    <row r="52" spans="1:15" ht="13.5" thickTop="1" thickBot="1">
      <c r="A52" s="852"/>
      <c r="B52" s="263" t="s">
        <v>92</v>
      </c>
      <c r="C52" s="263" t="s">
        <v>93</v>
      </c>
      <c r="D52" s="367">
        <f t="shared" si="10"/>
        <v>0</v>
      </c>
      <c r="E52" s="367"/>
      <c r="F52" s="356">
        <f>январь!F52+февраль!F52</f>
        <v>0</v>
      </c>
      <c r="G52" s="356">
        <f>январь!G52+февраль!G52</f>
        <v>0</v>
      </c>
      <c r="H52" s="356">
        <f>январь!H52+февраль!H52</f>
        <v>0</v>
      </c>
      <c r="I52" s="356">
        <f>январь!I52+февраль!I52</f>
        <v>0</v>
      </c>
      <c r="J52" s="265">
        <f t="shared" si="11"/>
        <v>0</v>
      </c>
      <c r="K52" s="279"/>
      <c r="L52" s="356">
        <f>январь!L52+февраль!L52</f>
        <v>0</v>
      </c>
      <c r="M52" s="356">
        <f>январь!M52+февраль!M52</f>
        <v>0</v>
      </c>
      <c r="N52" s="356">
        <f>январь!N52+февраль!N52</f>
        <v>0</v>
      </c>
      <c r="O52" s="356">
        <f>январь!O52+февраль!O52</f>
        <v>0</v>
      </c>
    </row>
    <row r="53" spans="1:15" ht="13.5" thickTop="1" thickBot="1">
      <c r="A53" s="852"/>
      <c r="B53" s="263" t="s">
        <v>94</v>
      </c>
      <c r="C53" s="263" t="s">
        <v>95</v>
      </c>
      <c r="D53" s="374">
        <f t="shared" si="10"/>
        <v>52413</v>
      </c>
      <c r="E53" s="376"/>
      <c r="F53" s="376"/>
      <c r="G53" s="356">
        <f>январь!G53+февраль!G53</f>
        <v>2328</v>
      </c>
      <c r="H53" s="356">
        <f>январь!H53+февраль!H53</f>
        <v>50085</v>
      </c>
      <c r="I53" s="367"/>
      <c r="J53" s="280">
        <f t="shared" si="11"/>
        <v>45120.311999999998</v>
      </c>
      <c r="K53" s="238"/>
      <c r="L53" s="238"/>
      <c r="M53" s="356">
        <f>январь!M53+февраль!M53</f>
        <v>2297.337</v>
      </c>
      <c r="N53" s="356">
        <f>январь!N53+февраль!N53</f>
        <v>42808.705000000002</v>
      </c>
      <c r="O53" s="356">
        <f>январь!O53+февраль!O53</f>
        <v>14.27</v>
      </c>
    </row>
    <row r="54" spans="1:15" ht="13.5" thickTop="1" thickBot="1">
      <c r="A54" s="852"/>
      <c r="B54" s="390"/>
      <c r="C54" s="391" t="s">
        <v>89</v>
      </c>
      <c r="D54" s="371">
        <f t="shared" si="10"/>
        <v>2800</v>
      </c>
      <c r="E54" s="377"/>
      <c r="F54" s="377"/>
      <c r="G54" s="376"/>
      <c r="H54" s="356">
        <f>январь!H54+февраль!H54</f>
        <v>2800</v>
      </c>
      <c r="I54" s="372"/>
      <c r="J54" s="392">
        <f t="shared" si="11"/>
        <v>4798.8519999999999</v>
      </c>
      <c r="K54" s="393"/>
      <c r="L54" s="393"/>
      <c r="M54" s="394"/>
      <c r="N54" s="356">
        <f>январь!N54+февраль!N54</f>
        <v>4798.8519999999999</v>
      </c>
      <c r="O54" s="395"/>
    </row>
    <row r="55" spans="1:15" ht="13.5" thickTop="1" thickBot="1">
      <c r="A55" s="852"/>
      <c r="B55" s="396"/>
      <c r="C55" s="397" t="s">
        <v>90</v>
      </c>
      <c r="D55" s="371">
        <f t="shared" si="10"/>
        <v>0</v>
      </c>
      <c r="E55" s="372"/>
      <c r="F55" s="372"/>
      <c r="G55" s="372"/>
      <c r="H55" s="371"/>
      <c r="I55" s="371"/>
      <c r="J55" s="398">
        <f t="shared" si="11"/>
        <v>0</v>
      </c>
      <c r="K55" s="399"/>
      <c r="L55" s="399"/>
      <c r="M55" s="399"/>
      <c r="N55" s="398"/>
      <c r="O55" s="398"/>
    </row>
    <row r="56" spans="1:15" ht="13.5" thickTop="1" thickBot="1">
      <c r="A56" s="852"/>
      <c r="B56" s="396"/>
      <c r="C56" s="397" t="s">
        <v>91</v>
      </c>
      <c r="D56" s="371">
        <f t="shared" si="10"/>
        <v>0</v>
      </c>
      <c r="E56" s="372"/>
      <c r="F56" s="372"/>
      <c r="G56" s="372"/>
      <c r="H56" s="372"/>
      <c r="I56" s="371"/>
      <c r="J56" s="398">
        <f t="shared" si="11"/>
        <v>0</v>
      </c>
      <c r="K56" s="399"/>
      <c r="L56" s="399"/>
      <c r="M56" s="399"/>
      <c r="N56" s="399"/>
      <c r="O56" s="398"/>
    </row>
    <row r="57" spans="1:15" ht="13.5" thickTop="1" thickBot="1">
      <c r="A57" s="852"/>
      <c r="B57" s="400" t="s">
        <v>96</v>
      </c>
      <c r="C57" s="400" t="s">
        <v>97</v>
      </c>
      <c r="D57" s="367">
        <f t="shared" si="10"/>
        <v>2368</v>
      </c>
      <c r="E57" s="367"/>
      <c r="F57" s="367"/>
      <c r="G57" s="367"/>
      <c r="H57" s="356">
        <f>январь!H57+февраль!H57</f>
        <v>2368</v>
      </c>
      <c r="I57" s="367"/>
      <c r="J57" s="401">
        <f t="shared" si="11"/>
        <v>2053.1330849999999</v>
      </c>
      <c r="K57" s="401"/>
      <c r="L57" s="401"/>
      <c r="M57" s="401"/>
      <c r="N57" s="356">
        <f>январь!N57+февраль!N57</f>
        <v>2053.1330849999999</v>
      </c>
      <c r="O57" s="401"/>
    </row>
    <row r="58" spans="1:15" ht="13.5" thickTop="1" thickBot="1">
      <c r="A58" s="852"/>
      <c r="B58" s="400" t="s">
        <v>98</v>
      </c>
      <c r="C58" s="400" t="s">
        <v>99</v>
      </c>
      <c r="D58" s="367">
        <f t="shared" si="10"/>
        <v>0</v>
      </c>
      <c r="E58" s="367"/>
      <c r="F58" s="367"/>
      <c r="G58" s="367"/>
      <c r="H58" s="323"/>
      <c r="I58" s="367"/>
      <c r="J58" s="401">
        <f t="shared" si="11"/>
        <v>0</v>
      </c>
      <c r="K58" s="401"/>
      <c r="L58" s="401"/>
      <c r="M58" s="401"/>
      <c r="N58" s="403"/>
      <c r="O58" s="401"/>
    </row>
    <row r="59" spans="1:15" ht="13.5" thickTop="1" thickBot="1">
      <c r="A59" s="852"/>
      <c r="B59" s="404" t="s">
        <v>171</v>
      </c>
      <c r="C59" s="405" t="s">
        <v>190</v>
      </c>
      <c r="D59" s="325">
        <f t="shared" si="10"/>
        <v>6590</v>
      </c>
      <c r="E59" s="356">
        <f>январь!E59+февраль!E59</f>
        <v>0</v>
      </c>
      <c r="F59" s="356">
        <f>январь!F59+февраль!F59</f>
        <v>4520</v>
      </c>
      <c r="G59" s="284"/>
      <c r="H59" s="356">
        <f>январь!H59+февраль!H59</f>
        <v>820</v>
      </c>
      <c r="I59" s="356">
        <f>январь!I59+февраль!I59</f>
        <v>1250</v>
      </c>
      <c r="J59" s="309">
        <f t="shared" si="11"/>
        <v>5710.3869999999997</v>
      </c>
      <c r="K59" s="356">
        <f>январь!K59+февраль!K59</f>
        <v>0</v>
      </c>
      <c r="L59" s="356">
        <f>январь!L59+февраль!L59</f>
        <v>3417.357</v>
      </c>
      <c r="M59" s="310"/>
      <c r="N59" s="356">
        <f>январь!N59+февраль!N59</f>
        <v>989.596</v>
      </c>
      <c r="O59" s="356">
        <f>январь!O59+февраль!O59</f>
        <v>1303.4340000000002</v>
      </c>
    </row>
    <row r="60" spans="1:15" ht="13.5" thickTop="1" thickBot="1">
      <c r="A60" s="852"/>
      <c r="B60" s="406" t="s">
        <v>172</v>
      </c>
      <c r="C60" s="406" t="s">
        <v>88</v>
      </c>
      <c r="D60" s="324">
        <f t="shared" si="10"/>
        <v>0</v>
      </c>
      <c r="E60" s="324"/>
      <c r="F60" s="324"/>
      <c r="G60" s="324"/>
      <c r="H60" s="324"/>
      <c r="I60" s="324"/>
      <c r="J60" s="308">
        <f t="shared" si="11"/>
        <v>0</v>
      </c>
      <c r="K60" s="308"/>
      <c r="L60" s="308"/>
      <c r="M60" s="436"/>
      <c r="N60" s="308"/>
      <c r="O60" s="308"/>
    </row>
    <row r="61" spans="1:15" ht="13.5" thickTop="1" thickBot="1">
      <c r="A61" s="852"/>
      <c r="B61" s="407"/>
      <c r="C61" s="408" t="s">
        <v>89</v>
      </c>
      <c r="D61" s="326">
        <f t="shared" si="10"/>
        <v>0</v>
      </c>
      <c r="E61" s="327"/>
      <c r="F61" s="327"/>
      <c r="G61" s="326"/>
      <c r="H61" s="326"/>
      <c r="I61" s="327"/>
      <c r="J61" s="311">
        <f t="shared" si="11"/>
        <v>0</v>
      </c>
      <c r="K61" s="312"/>
      <c r="L61" s="312"/>
      <c r="M61" s="311"/>
      <c r="N61" s="311"/>
      <c r="O61" s="312"/>
    </row>
    <row r="62" spans="1:15" ht="13.5" thickTop="1" thickBot="1">
      <c r="A62" s="852"/>
      <c r="B62" s="407"/>
      <c r="C62" s="408" t="s">
        <v>90</v>
      </c>
      <c r="D62" s="326">
        <f t="shared" si="10"/>
        <v>0</v>
      </c>
      <c r="E62" s="327"/>
      <c r="F62" s="327"/>
      <c r="G62" s="327"/>
      <c r="H62" s="326"/>
      <c r="I62" s="326"/>
      <c r="J62" s="311">
        <f t="shared" si="11"/>
        <v>0</v>
      </c>
      <c r="K62" s="312"/>
      <c r="L62" s="312"/>
      <c r="M62" s="312"/>
      <c r="N62" s="311"/>
      <c r="O62" s="311"/>
    </row>
    <row r="63" spans="1:15" ht="13.5" thickTop="1" thickBot="1">
      <c r="A63" s="852"/>
      <c r="B63" s="407"/>
      <c r="C63" s="408" t="s">
        <v>91</v>
      </c>
      <c r="D63" s="326">
        <f t="shared" si="10"/>
        <v>0</v>
      </c>
      <c r="E63" s="327"/>
      <c r="F63" s="327"/>
      <c r="G63" s="327"/>
      <c r="H63" s="327"/>
      <c r="I63" s="326"/>
      <c r="J63" s="311">
        <f t="shared" si="11"/>
        <v>0</v>
      </c>
      <c r="K63" s="312"/>
      <c r="L63" s="312"/>
      <c r="M63" s="312"/>
      <c r="N63" s="312"/>
      <c r="O63" s="311"/>
    </row>
    <row r="64" spans="1:15" ht="13.5" thickTop="1" thickBot="1">
      <c r="A64" s="852"/>
      <c r="B64" s="406" t="s">
        <v>173</v>
      </c>
      <c r="C64" s="406" t="s">
        <v>93</v>
      </c>
      <c r="D64" s="324">
        <f t="shared" si="10"/>
        <v>0</v>
      </c>
      <c r="E64" s="356">
        <f>январь!E64+февраль!E64</f>
        <v>0</v>
      </c>
      <c r="F64" s="356">
        <f>январь!F64+февраль!F64</f>
        <v>0</v>
      </c>
      <c r="G64" s="328"/>
      <c r="H64" s="328"/>
      <c r="I64" s="324"/>
      <c r="J64" s="308">
        <f t="shared" si="11"/>
        <v>0</v>
      </c>
      <c r="K64" s="356">
        <f>январь!K64+февраль!K64</f>
        <v>0</v>
      </c>
      <c r="L64" s="356">
        <f>январь!L64+февраль!L64</f>
        <v>0</v>
      </c>
      <c r="M64" s="313"/>
      <c r="N64" s="313"/>
      <c r="O64" s="308"/>
    </row>
    <row r="65" spans="1:15" ht="13.5" thickTop="1" thickBot="1">
      <c r="A65" s="852"/>
      <c r="B65" s="406" t="s">
        <v>174</v>
      </c>
      <c r="C65" s="406" t="s">
        <v>95</v>
      </c>
      <c r="D65" s="330">
        <f t="shared" si="10"/>
        <v>0</v>
      </c>
      <c r="E65" s="356">
        <f>январь!E65+февраль!E65</f>
        <v>0</v>
      </c>
      <c r="F65" s="326"/>
      <c r="G65" s="326"/>
      <c r="H65" s="326"/>
      <c r="I65" s="324"/>
      <c r="J65" s="314">
        <f t="shared" si="11"/>
        <v>0</v>
      </c>
      <c r="K65" s="356">
        <f>январь!K65+февраль!K65</f>
        <v>0</v>
      </c>
      <c r="L65" s="311"/>
      <c r="M65" s="311"/>
      <c r="N65" s="311"/>
      <c r="O65" s="308"/>
    </row>
    <row r="66" spans="1:15" ht="13.5" thickTop="1" thickBot="1">
      <c r="A66" s="852"/>
      <c r="B66" s="407"/>
      <c r="C66" s="408" t="s">
        <v>89</v>
      </c>
      <c r="D66" s="326">
        <f t="shared" si="10"/>
        <v>0</v>
      </c>
      <c r="E66" s="327"/>
      <c r="F66" s="327"/>
      <c r="G66" s="326"/>
      <c r="H66" s="326"/>
      <c r="I66" s="327"/>
      <c r="J66" s="311">
        <f t="shared" si="11"/>
        <v>0</v>
      </c>
      <c r="K66" s="312"/>
      <c r="L66" s="312"/>
      <c r="M66" s="311"/>
      <c r="N66" s="311"/>
      <c r="O66" s="312"/>
    </row>
    <row r="67" spans="1:15" ht="13.5" thickTop="1" thickBot="1">
      <c r="A67" s="852"/>
      <c r="B67" s="407"/>
      <c r="C67" s="408" t="s">
        <v>90</v>
      </c>
      <c r="D67" s="326">
        <f t="shared" si="10"/>
        <v>0</v>
      </c>
      <c r="E67" s="327"/>
      <c r="F67" s="327"/>
      <c r="G67" s="327"/>
      <c r="H67" s="326"/>
      <c r="I67" s="326"/>
      <c r="J67" s="311">
        <f t="shared" si="11"/>
        <v>0</v>
      </c>
      <c r="K67" s="312"/>
      <c r="L67" s="312"/>
      <c r="M67" s="312"/>
      <c r="N67" s="311"/>
      <c r="O67" s="311"/>
    </row>
    <row r="68" spans="1:15" ht="13.5" thickTop="1" thickBot="1">
      <c r="A68" s="852"/>
      <c r="B68" s="407"/>
      <c r="C68" s="408" t="s">
        <v>91</v>
      </c>
      <c r="D68" s="326">
        <f t="shared" si="10"/>
        <v>0</v>
      </c>
      <c r="E68" s="327"/>
      <c r="F68" s="327"/>
      <c r="G68" s="327"/>
      <c r="H68" s="327"/>
      <c r="I68" s="326"/>
      <c r="J68" s="311">
        <f t="shared" si="11"/>
        <v>0</v>
      </c>
      <c r="K68" s="312"/>
      <c r="L68" s="312"/>
      <c r="M68" s="312"/>
      <c r="N68" s="312"/>
      <c r="O68" s="311"/>
    </row>
    <row r="69" spans="1:15" ht="13.5" thickTop="1" thickBot="1">
      <c r="A69" s="852"/>
      <c r="B69" s="406" t="s">
        <v>176</v>
      </c>
      <c r="C69" s="406" t="s">
        <v>97</v>
      </c>
      <c r="D69" s="324">
        <f t="shared" si="10"/>
        <v>0</v>
      </c>
      <c r="E69" s="324"/>
      <c r="F69" s="324"/>
      <c r="G69" s="324"/>
      <c r="H69" s="323"/>
      <c r="I69" s="324"/>
      <c r="J69" s="308">
        <f t="shared" si="11"/>
        <v>0</v>
      </c>
      <c r="K69" s="308"/>
      <c r="L69" s="308"/>
      <c r="M69" s="308"/>
      <c r="N69" s="307"/>
      <c r="O69" s="308"/>
    </row>
    <row r="70" spans="1:15" ht="13.5" thickTop="1" thickBot="1">
      <c r="A70" s="852"/>
      <c r="B70" s="406" t="s">
        <v>175</v>
      </c>
      <c r="C70" s="406" t="s">
        <v>99</v>
      </c>
      <c r="D70" s="324">
        <f t="shared" si="10"/>
        <v>0</v>
      </c>
      <c r="E70" s="324"/>
      <c r="F70" s="324"/>
      <c r="G70" s="324"/>
      <c r="H70" s="323"/>
      <c r="I70" s="324"/>
      <c r="J70" s="308">
        <f t="shared" si="11"/>
        <v>0</v>
      </c>
      <c r="K70" s="308"/>
      <c r="L70" s="308"/>
      <c r="M70" s="308"/>
      <c r="N70" s="307"/>
      <c r="O70" s="308"/>
    </row>
    <row r="71" spans="1:15" ht="13.5" thickTop="1" thickBot="1">
      <c r="A71" s="852"/>
      <c r="B71" s="404" t="s">
        <v>177</v>
      </c>
      <c r="C71" s="405" t="s">
        <v>203</v>
      </c>
      <c r="D71" s="325">
        <f t="shared" si="10"/>
        <v>14320</v>
      </c>
      <c r="E71" s="284"/>
      <c r="F71" s="284"/>
      <c r="G71" s="356">
        <f>январь!G71+февраль!G71</f>
        <v>7980</v>
      </c>
      <c r="H71" s="356">
        <f>январь!H71+февраль!H71</f>
        <v>6340</v>
      </c>
      <c r="I71" s="284"/>
      <c r="J71" s="309">
        <f t="shared" si="11"/>
        <v>13091.604000000001</v>
      </c>
      <c r="K71" s="409"/>
      <c r="L71" s="409"/>
      <c r="M71" s="356">
        <f>январь!M71+февраль!M71</f>
        <v>7152.2790000000005</v>
      </c>
      <c r="N71" s="356">
        <f>январь!N71+февраль!N71</f>
        <v>5939.3250000000007</v>
      </c>
      <c r="O71" s="310"/>
    </row>
    <row r="72" spans="1:15" ht="13.5" thickTop="1" thickBot="1">
      <c r="A72" s="852"/>
      <c r="B72" s="406" t="s">
        <v>178</v>
      </c>
      <c r="C72" s="406" t="s">
        <v>88</v>
      </c>
      <c r="D72" s="324">
        <f t="shared" si="10"/>
        <v>0</v>
      </c>
      <c r="E72" s="324"/>
      <c r="F72" s="324"/>
      <c r="G72" s="324"/>
      <c r="H72" s="324"/>
      <c r="I72" s="324"/>
      <c r="J72" s="308">
        <f t="shared" si="11"/>
        <v>0</v>
      </c>
      <c r="K72" s="308"/>
      <c r="L72" s="308"/>
      <c r="M72" s="308"/>
      <c r="N72" s="308"/>
      <c r="O72" s="308"/>
    </row>
    <row r="73" spans="1:15" ht="13.5" thickTop="1" thickBot="1">
      <c r="A73" s="852"/>
      <c r="B73" s="407"/>
      <c r="C73" s="408" t="s">
        <v>89</v>
      </c>
      <c r="D73" s="326">
        <f t="shared" si="10"/>
        <v>6394</v>
      </c>
      <c r="E73" s="327"/>
      <c r="F73" s="327"/>
      <c r="G73" s="356">
        <f>январь!G73+февраль!G73</f>
        <v>2087</v>
      </c>
      <c r="H73" s="356">
        <f>январь!H73+февраль!H73</f>
        <v>4307</v>
      </c>
      <c r="I73" s="327"/>
      <c r="J73" s="311">
        <f t="shared" si="11"/>
        <v>5732.6810000000005</v>
      </c>
      <c r="K73" s="312"/>
      <c r="L73" s="312"/>
      <c r="M73" s="356">
        <f>январь!M73+февраль!M73</f>
        <v>1570.8320000000003</v>
      </c>
      <c r="N73" s="356">
        <f>январь!N73+февраль!N73</f>
        <v>4161.8490000000002</v>
      </c>
      <c r="O73" s="312"/>
    </row>
    <row r="74" spans="1:15" ht="13.5" thickTop="1" thickBot="1">
      <c r="A74" s="852"/>
      <c r="B74" s="407"/>
      <c r="C74" s="408" t="s">
        <v>90</v>
      </c>
      <c r="D74" s="326">
        <f t="shared" si="10"/>
        <v>0</v>
      </c>
      <c r="E74" s="327"/>
      <c r="F74" s="327"/>
      <c r="G74" s="327"/>
      <c r="H74" s="326"/>
      <c r="I74" s="326"/>
      <c r="J74" s="311">
        <f t="shared" si="11"/>
        <v>0</v>
      </c>
      <c r="K74" s="312"/>
      <c r="L74" s="312"/>
      <c r="M74" s="312"/>
      <c r="N74" s="311"/>
      <c r="O74" s="311"/>
    </row>
    <row r="75" spans="1:15" ht="13.5" thickTop="1" thickBot="1">
      <c r="A75" s="852"/>
      <c r="B75" s="407"/>
      <c r="C75" s="408" t="s">
        <v>91</v>
      </c>
      <c r="D75" s="326">
        <f t="shared" si="10"/>
        <v>0</v>
      </c>
      <c r="E75" s="327"/>
      <c r="F75" s="327"/>
      <c r="G75" s="327"/>
      <c r="H75" s="327"/>
      <c r="I75" s="326"/>
      <c r="J75" s="311">
        <f t="shared" si="11"/>
        <v>0</v>
      </c>
      <c r="K75" s="312"/>
      <c r="L75" s="312"/>
      <c r="M75" s="312"/>
      <c r="N75" s="312"/>
      <c r="O75" s="311"/>
    </row>
    <row r="76" spans="1:15" ht="13.5" thickTop="1" thickBot="1">
      <c r="A76" s="852"/>
      <c r="B76" s="406" t="s">
        <v>179</v>
      </c>
      <c r="C76" s="406" t="s">
        <v>93</v>
      </c>
      <c r="D76" s="324">
        <f t="shared" si="10"/>
        <v>0</v>
      </c>
      <c r="E76" s="324"/>
      <c r="F76" s="324"/>
      <c r="G76" s="328"/>
      <c r="H76" s="328"/>
      <c r="I76" s="324"/>
      <c r="J76" s="308"/>
      <c r="K76" s="308"/>
      <c r="L76" s="308"/>
      <c r="M76" s="313"/>
      <c r="N76" s="313"/>
      <c r="O76" s="308"/>
    </row>
    <row r="77" spans="1:15" ht="13.5" thickTop="1" thickBot="1">
      <c r="A77" s="852"/>
      <c r="B77" s="406" t="s">
        <v>180</v>
      </c>
      <c r="C77" s="406" t="s">
        <v>95</v>
      </c>
      <c r="D77" s="330">
        <f t="shared" si="10"/>
        <v>0</v>
      </c>
      <c r="E77" s="380"/>
      <c r="F77" s="326"/>
      <c r="G77" s="356"/>
      <c r="H77" s="356"/>
      <c r="I77" s="324"/>
      <c r="J77" s="314"/>
      <c r="K77" s="410"/>
      <c r="L77" s="311"/>
      <c r="M77" s="356"/>
      <c r="N77" s="356"/>
      <c r="O77" s="308"/>
    </row>
    <row r="78" spans="1:15" ht="13.5" thickTop="1" thickBot="1">
      <c r="A78" s="852"/>
      <c r="B78" s="407"/>
      <c r="C78" s="408" t="s">
        <v>89</v>
      </c>
      <c r="D78" s="326">
        <f t="shared" ref="D78:D147" si="12">SUM(E78:I78)</f>
        <v>7926</v>
      </c>
      <c r="E78" s="327"/>
      <c r="F78" s="327"/>
      <c r="G78" s="356">
        <f>январь!G78+февраль!G78</f>
        <v>5893</v>
      </c>
      <c r="H78" s="356">
        <f>январь!H78+февраль!H78</f>
        <v>2033</v>
      </c>
      <c r="I78" s="327"/>
      <c r="J78" s="311">
        <f t="shared" ref="J78:J147" si="13">SUM(K78:O78)</f>
        <v>7358.9230000000007</v>
      </c>
      <c r="K78" s="312"/>
      <c r="L78" s="312"/>
      <c r="M78" s="356">
        <f>январь!M78+февраль!M78</f>
        <v>5581.4470000000001</v>
      </c>
      <c r="N78" s="356">
        <f>январь!N78+февраль!N78</f>
        <v>1777.4760000000001</v>
      </c>
      <c r="O78" s="312"/>
    </row>
    <row r="79" spans="1:15" ht="13.5" thickTop="1" thickBot="1">
      <c r="A79" s="852"/>
      <c r="B79" s="407"/>
      <c r="C79" s="408" t="s">
        <v>90</v>
      </c>
      <c r="D79" s="326">
        <f t="shared" si="12"/>
        <v>0</v>
      </c>
      <c r="E79" s="327"/>
      <c r="F79" s="327"/>
      <c r="G79" s="327"/>
      <c r="H79" s="326"/>
      <c r="I79" s="326"/>
      <c r="J79" s="311">
        <f t="shared" si="13"/>
        <v>0</v>
      </c>
      <c r="K79" s="312"/>
      <c r="L79" s="312"/>
      <c r="M79" s="312"/>
      <c r="N79" s="311"/>
      <c r="O79" s="311"/>
    </row>
    <row r="80" spans="1:15" ht="13.5" thickTop="1" thickBot="1">
      <c r="A80" s="852"/>
      <c r="B80" s="407"/>
      <c r="C80" s="408" t="s">
        <v>91</v>
      </c>
      <c r="D80" s="326">
        <f t="shared" si="12"/>
        <v>0</v>
      </c>
      <c r="E80" s="327"/>
      <c r="F80" s="327"/>
      <c r="G80" s="327"/>
      <c r="H80" s="327"/>
      <c r="I80" s="326"/>
      <c r="J80" s="311">
        <f t="shared" si="13"/>
        <v>0</v>
      </c>
      <c r="K80" s="312"/>
      <c r="L80" s="312"/>
      <c r="M80" s="312"/>
      <c r="N80" s="312"/>
      <c r="O80" s="311"/>
    </row>
    <row r="81" spans="1:15" ht="13.5" thickTop="1" thickBot="1">
      <c r="A81" s="852"/>
      <c r="B81" s="406" t="s">
        <v>181</v>
      </c>
      <c r="C81" s="406" t="s">
        <v>97</v>
      </c>
      <c r="D81" s="324">
        <f t="shared" si="12"/>
        <v>0</v>
      </c>
      <c r="E81" s="324"/>
      <c r="F81" s="324"/>
      <c r="G81" s="324"/>
      <c r="H81" s="323"/>
      <c r="I81" s="324"/>
      <c r="J81" s="308">
        <f t="shared" si="13"/>
        <v>0</v>
      </c>
      <c r="K81" s="308"/>
      <c r="L81" s="308"/>
      <c r="M81" s="308"/>
      <c r="N81" s="307"/>
      <c r="O81" s="308"/>
    </row>
    <row r="82" spans="1:15" ht="13.5" thickTop="1" thickBot="1">
      <c r="A82" s="852"/>
      <c r="B82" s="406" t="s">
        <v>182</v>
      </c>
      <c r="C82" s="406" t="s">
        <v>99</v>
      </c>
      <c r="D82" s="324">
        <f t="shared" si="12"/>
        <v>0</v>
      </c>
      <c r="E82" s="324"/>
      <c r="F82" s="324"/>
      <c r="G82" s="324"/>
      <c r="H82" s="323"/>
      <c r="I82" s="324"/>
      <c r="J82" s="308">
        <f t="shared" si="13"/>
        <v>0</v>
      </c>
      <c r="K82" s="308"/>
      <c r="L82" s="308"/>
      <c r="M82" s="308"/>
      <c r="N82" s="307"/>
      <c r="O82" s="308"/>
    </row>
    <row r="83" spans="1:15" ht="13.5" thickTop="1" thickBot="1">
      <c r="A83" s="852"/>
      <c r="B83" s="404" t="s">
        <v>183</v>
      </c>
      <c r="C83" s="405" t="s">
        <v>189</v>
      </c>
      <c r="D83" s="325">
        <f t="shared" si="12"/>
        <v>142730</v>
      </c>
      <c r="E83" s="284"/>
      <c r="F83" s="356">
        <f>январь!F83+февраль!F83</f>
        <v>142730</v>
      </c>
      <c r="G83" s="284"/>
      <c r="H83" s="284"/>
      <c r="I83" s="284"/>
      <c r="J83" s="308">
        <f t="shared" si="13"/>
        <v>134627.4</v>
      </c>
      <c r="K83" s="308"/>
      <c r="L83" s="356">
        <f>январь!L83+февраль!L83</f>
        <v>134627.4</v>
      </c>
      <c r="M83" s="308"/>
      <c r="N83" s="307"/>
      <c r="O83" s="308"/>
    </row>
    <row r="84" spans="1:15" ht="13.5" thickTop="1" thickBot="1">
      <c r="A84" s="852"/>
      <c r="B84" s="406" t="s">
        <v>184</v>
      </c>
      <c r="C84" s="406" t="s">
        <v>88</v>
      </c>
      <c r="D84" s="324">
        <f t="shared" si="12"/>
        <v>0</v>
      </c>
      <c r="E84" s="324"/>
      <c r="F84" s="324"/>
      <c r="G84" s="324"/>
      <c r="H84" s="324"/>
      <c r="I84" s="324"/>
      <c r="J84" s="308">
        <f t="shared" si="13"/>
        <v>0</v>
      </c>
      <c r="K84" s="308"/>
      <c r="L84" s="308"/>
      <c r="M84" s="308"/>
      <c r="N84" s="308"/>
      <c r="O84" s="308"/>
    </row>
    <row r="85" spans="1:15" ht="13.5" thickTop="1" thickBot="1">
      <c r="A85" s="852"/>
      <c r="B85" s="407"/>
      <c r="C85" s="408" t="s">
        <v>89</v>
      </c>
      <c r="D85" s="326">
        <f t="shared" si="12"/>
        <v>0</v>
      </c>
      <c r="E85" s="327"/>
      <c r="F85" s="327"/>
      <c r="G85" s="326"/>
      <c r="H85" s="326"/>
      <c r="I85" s="327"/>
      <c r="J85" s="311">
        <f t="shared" si="13"/>
        <v>0</v>
      </c>
      <c r="K85" s="312"/>
      <c r="L85" s="312"/>
      <c r="M85" s="311"/>
      <c r="N85" s="311"/>
      <c r="O85" s="312"/>
    </row>
    <row r="86" spans="1:15" ht="13.5" thickTop="1" thickBot="1">
      <c r="A86" s="852"/>
      <c r="B86" s="407"/>
      <c r="C86" s="408" t="s">
        <v>90</v>
      </c>
      <c r="D86" s="326">
        <f t="shared" si="12"/>
        <v>0</v>
      </c>
      <c r="E86" s="327"/>
      <c r="F86" s="327"/>
      <c r="G86" s="327"/>
      <c r="H86" s="326"/>
      <c r="I86" s="326"/>
      <c r="J86" s="311">
        <f t="shared" si="13"/>
        <v>0</v>
      </c>
      <c r="K86" s="312"/>
      <c r="L86" s="312"/>
      <c r="M86" s="312"/>
      <c r="N86" s="311"/>
      <c r="O86" s="311"/>
    </row>
    <row r="87" spans="1:15" ht="13.5" thickTop="1" thickBot="1">
      <c r="A87" s="852"/>
      <c r="B87" s="407"/>
      <c r="C87" s="408" t="s">
        <v>91</v>
      </c>
      <c r="D87" s="326">
        <f t="shared" si="12"/>
        <v>0</v>
      </c>
      <c r="E87" s="327"/>
      <c r="F87" s="327"/>
      <c r="G87" s="327"/>
      <c r="H87" s="327"/>
      <c r="I87" s="326"/>
      <c r="J87" s="311">
        <f t="shared" si="13"/>
        <v>0</v>
      </c>
      <c r="K87" s="312"/>
      <c r="L87" s="312"/>
      <c r="M87" s="312"/>
      <c r="N87" s="312"/>
      <c r="O87" s="311"/>
    </row>
    <row r="88" spans="1:15" ht="13.5" thickTop="1" thickBot="1">
      <c r="A88" s="852"/>
      <c r="B88" s="406" t="s">
        <v>185</v>
      </c>
      <c r="C88" s="406" t="s">
        <v>93</v>
      </c>
      <c r="D88" s="324">
        <f t="shared" si="12"/>
        <v>0</v>
      </c>
      <c r="E88" s="324"/>
      <c r="F88" s="324"/>
      <c r="G88" s="328"/>
      <c r="H88" s="328"/>
      <c r="I88" s="324"/>
      <c r="J88" s="308">
        <f t="shared" si="13"/>
        <v>0</v>
      </c>
      <c r="K88" s="308"/>
      <c r="L88" s="308"/>
      <c r="M88" s="313"/>
      <c r="N88" s="313"/>
      <c r="O88" s="308"/>
    </row>
    <row r="89" spans="1:15" ht="13.5" thickTop="1" thickBot="1">
      <c r="A89" s="852"/>
      <c r="B89" s="406" t="s">
        <v>186</v>
      </c>
      <c r="C89" s="406" t="s">
        <v>95</v>
      </c>
      <c r="D89" s="330">
        <f t="shared" si="12"/>
        <v>55605</v>
      </c>
      <c r="E89" s="380"/>
      <c r="F89" s="356">
        <f>январь!F89+февраль!F89</f>
        <v>55605</v>
      </c>
      <c r="G89" s="326"/>
      <c r="H89" s="326"/>
      <c r="I89" s="324"/>
      <c r="J89" s="314">
        <f t="shared" si="13"/>
        <v>54899.9</v>
      </c>
      <c r="K89" s="410"/>
      <c r="L89" s="356">
        <f>январь!L89+февраль!L89</f>
        <v>54899.9</v>
      </c>
      <c r="M89" s="311"/>
      <c r="N89" s="311"/>
      <c r="O89" s="308"/>
    </row>
    <row r="90" spans="1:15" ht="13.5" thickTop="1" thickBot="1">
      <c r="A90" s="852"/>
      <c r="B90" s="407"/>
      <c r="C90" s="408" t="s">
        <v>89</v>
      </c>
      <c r="D90" s="326">
        <f t="shared" si="12"/>
        <v>0</v>
      </c>
      <c r="E90" s="327"/>
      <c r="F90" s="327"/>
      <c r="G90" s="326"/>
      <c r="H90" s="326"/>
      <c r="I90" s="327"/>
      <c r="J90" s="311">
        <f t="shared" si="13"/>
        <v>0</v>
      </c>
      <c r="K90" s="312"/>
      <c r="L90" s="312"/>
      <c r="M90" s="311"/>
      <c r="N90" s="311"/>
      <c r="O90" s="312"/>
    </row>
    <row r="91" spans="1:15" ht="13.5" thickTop="1" thickBot="1">
      <c r="A91" s="852"/>
      <c r="B91" s="407"/>
      <c r="C91" s="408" t="s">
        <v>90</v>
      </c>
      <c r="D91" s="326">
        <f t="shared" si="12"/>
        <v>0</v>
      </c>
      <c r="E91" s="327"/>
      <c r="F91" s="327"/>
      <c r="G91" s="327"/>
      <c r="H91" s="326"/>
      <c r="I91" s="326"/>
      <c r="J91" s="311">
        <f t="shared" si="13"/>
        <v>0</v>
      </c>
      <c r="K91" s="312"/>
      <c r="L91" s="312"/>
      <c r="M91" s="312"/>
      <c r="N91" s="311"/>
      <c r="O91" s="311"/>
    </row>
    <row r="92" spans="1:15" ht="13.5" thickTop="1" thickBot="1">
      <c r="A92" s="852"/>
      <c r="B92" s="407"/>
      <c r="C92" s="408" t="s">
        <v>91</v>
      </c>
      <c r="D92" s="326">
        <f t="shared" si="12"/>
        <v>0</v>
      </c>
      <c r="E92" s="327"/>
      <c r="F92" s="327"/>
      <c r="G92" s="327"/>
      <c r="H92" s="327"/>
      <c r="I92" s="326"/>
      <c r="J92" s="311">
        <f t="shared" si="13"/>
        <v>0</v>
      </c>
      <c r="K92" s="312"/>
      <c r="L92" s="312"/>
      <c r="M92" s="312"/>
      <c r="N92" s="312"/>
      <c r="O92" s="311"/>
    </row>
    <row r="93" spans="1:15" ht="13.5" thickTop="1" thickBot="1">
      <c r="A93" s="852"/>
      <c r="B93" s="406" t="s">
        <v>187</v>
      </c>
      <c r="C93" s="406" t="s">
        <v>97</v>
      </c>
      <c r="D93" s="324">
        <f t="shared" si="12"/>
        <v>0</v>
      </c>
      <c r="E93" s="324"/>
      <c r="F93" s="324"/>
      <c r="G93" s="324"/>
      <c r="H93" s="323"/>
      <c r="I93" s="324"/>
      <c r="J93" s="436">
        <f t="shared" si="13"/>
        <v>0</v>
      </c>
      <c r="K93" s="308"/>
      <c r="L93" s="308"/>
      <c r="M93" s="308"/>
      <c r="N93" s="307"/>
      <c r="O93" s="308"/>
    </row>
    <row r="94" spans="1:15" ht="13.5" thickTop="1" thickBot="1">
      <c r="A94" s="852"/>
      <c r="B94" s="406" t="s">
        <v>188</v>
      </c>
      <c r="C94" s="406" t="s">
        <v>99</v>
      </c>
      <c r="D94" s="324">
        <f t="shared" si="12"/>
        <v>0</v>
      </c>
      <c r="E94" s="324"/>
      <c r="F94" s="324"/>
      <c r="G94" s="324"/>
      <c r="H94" s="323"/>
      <c r="I94" s="324"/>
      <c r="J94" s="437">
        <f t="shared" si="13"/>
        <v>0</v>
      </c>
      <c r="K94" s="308"/>
      <c r="L94" s="308"/>
      <c r="M94" s="308"/>
      <c r="N94" s="308"/>
      <c r="O94" s="308"/>
    </row>
    <row r="95" spans="1:15" ht="13.5" thickTop="1" thickBot="1">
      <c r="A95" s="852"/>
      <c r="B95" s="204" t="s">
        <v>197</v>
      </c>
      <c r="C95" s="595" t="s">
        <v>204</v>
      </c>
      <c r="D95" s="325">
        <f t="shared" ref="D95:D106" si="14">SUM(E95:I95)</f>
        <v>10350</v>
      </c>
      <c r="E95" s="284"/>
      <c r="F95" s="325"/>
      <c r="G95" s="284"/>
      <c r="H95" s="356">
        <f>январь!H95+февраль!H95</f>
        <v>10350</v>
      </c>
      <c r="I95" s="284"/>
      <c r="J95" s="206">
        <f t="shared" ref="J95:J106" si="15">SUM(K95:O95)</f>
        <v>4302.6120000000001</v>
      </c>
      <c r="K95" s="284"/>
      <c r="L95" s="325"/>
      <c r="M95" s="214"/>
      <c r="N95" s="356">
        <f>январь!N95+февраль!N95</f>
        <v>4302.6120000000001</v>
      </c>
      <c r="O95" s="214"/>
    </row>
    <row r="96" spans="1:15" ht="13.5" thickTop="1" thickBot="1">
      <c r="A96" s="852"/>
      <c r="B96" s="182" t="s">
        <v>198</v>
      </c>
      <c r="C96" s="182" t="s">
        <v>88</v>
      </c>
      <c r="D96" s="324">
        <f t="shared" si="14"/>
        <v>0</v>
      </c>
      <c r="E96" s="324"/>
      <c r="F96" s="324"/>
      <c r="G96" s="324"/>
      <c r="H96" s="324"/>
      <c r="I96" s="324"/>
      <c r="J96" s="196">
        <f t="shared" si="15"/>
        <v>0</v>
      </c>
      <c r="K96" s="196"/>
      <c r="L96" s="196"/>
      <c r="M96" s="196"/>
      <c r="N96" s="196"/>
      <c r="O96" s="196"/>
    </row>
    <row r="97" spans="1:15" ht="13.5" thickTop="1" thickBot="1">
      <c r="A97" s="852"/>
      <c r="B97" s="207"/>
      <c r="C97" s="208" t="s">
        <v>89</v>
      </c>
      <c r="D97" s="326">
        <f t="shared" si="14"/>
        <v>4450</v>
      </c>
      <c r="E97" s="327"/>
      <c r="F97" s="327"/>
      <c r="G97" s="326"/>
      <c r="H97" s="356">
        <f>январь!H97+февраль!H97</f>
        <v>4450</v>
      </c>
      <c r="I97" s="327"/>
      <c r="J97" s="209">
        <f t="shared" si="15"/>
        <v>0</v>
      </c>
      <c r="K97" s="210"/>
      <c r="L97" s="210"/>
      <c r="M97" s="209"/>
      <c r="N97" s="209"/>
      <c r="O97" s="210"/>
    </row>
    <row r="98" spans="1:15" ht="13.5" thickTop="1" thickBot="1">
      <c r="A98" s="852"/>
      <c r="B98" s="207"/>
      <c r="C98" s="208" t="s">
        <v>90</v>
      </c>
      <c r="D98" s="326">
        <f t="shared" si="14"/>
        <v>3120</v>
      </c>
      <c r="E98" s="327"/>
      <c r="F98" s="327"/>
      <c r="G98" s="327"/>
      <c r="H98" s="356">
        <f>январь!H98+февраль!H98</f>
        <v>3120</v>
      </c>
      <c r="I98" s="326"/>
      <c r="J98" s="209">
        <f t="shared" si="15"/>
        <v>1494.1959999999999</v>
      </c>
      <c r="K98" s="210"/>
      <c r="L98" s="210"/>
      <c r="M98" s="210"/>
      <c r="N98" s="356">
        <f>январь!N98+февраль!N98</f>
        <v>1494.1959999999999</v>
      </c>
      <c r="O98" s="209"/>
    </row>
    <row r="99" spans="1:15" ht="13.5" thickTop="1" thickBot="1">
      <c r="A99" s="852"/>
      <c r="B99" s="207"/>
      <c r="C99" s="208" t="s">
        <v>91</v>
      </c>
      <c r="D99" s="326">
        <f t="shared" si="14"/>
        <v>0</v>
      </c>
      <c r="E99" s="327"/>
      <c r="F99" s="327"/>
      <c r="G99" s="327"/>
      <c r="H99" s="327"/>
      <c r="I99" s="326"/>
      <c r="J99" s="209">
        <f t="shared" si="15"/>
        <v>0</v>
      </c>
      <c r="K99" s="210"/>
      <c r="L99" s="210"/>
      <c r="M99" s="210"/>
      <c r="N99" s="210"/>
      <c r="O99" s="209"/>
    </row>
    <row r="100" spans="1:15" ht="13.5" thickTop="1" thickBot="1">
      <c r="A100" s="852"/>
      <c r="B100" s="182" t="s">
        <v>199</v>
      </c>
      <c r="C100" s="182" t="s">
        <v>93</v>
      </c>
      <c r="D100" s="324">
        <f t="shared" si="14"/>
        <v>0</v>
      </c>
      <c r="E100" s="324"/>
      <c r="F100" s="324"/>
      <c r="G100" s="328"/>
      <c r="H100" s="356">
        <f>январь!H100+февраль!H100</f>
        <v>0</v>
      </c>
      <c r="I100" s="324"/>
      <c r="J100" s="196">
        <f t="shared" si="15"/>
        <v>0</v>
      </c>
      <c r="K100" s="196"/>
      <c r="L100" s="196"/>
      <c r="M100" s="211"/>
      <c r="N100" s="356">
        <f>январь!N100+февраль!N100</f>
        <v>0</v>
      </c>
      <c r="O100" s="196"/>
    </row>
    <row r="101" spans="1:15" ht="13.5" thickTop="1" thickBot="1">
      <c r="A101" s="852"/>
      <c r="B101" s="182" t="s">
        <v>200</v>
      </c>
      <c r="C101" s="182" t="s">
        <v>95</v>
      </c>
      <c r="D101" s="330">
        <f t="shared" si="14"/>
        <v>0</v>
      </c>
      <c r="E101" s="380"/>
      <c r="F101" s="331"/>
      <c r="G101" s="326"/>
      <c r="H101" s="326"/>
      <c r="I101" s="324"/>
      <c r="J101" s="213">
        <f t="shared" si="15"/>
        <v>0</v>
      </c>
      <c r="K101" s="383"/>
      <c r="L101" s="320"/>
      <c r="M101" s="209"/>
      <c r="N101" s="209"/>
      <c r="O101" s="196"/>
    </row>
    <row r="102" spans="1:15" ht="13.5" thickTop="1" thickBot="1">
      <c r="A102" s="852"/>
      <c r="B102" s="207"/>
      <c r="C102" s="208" t="s">
        <v>89</v>
      </c>
      <c r="D102" s="326">
        <f t="shared" si="14"/>
        <v>0</v>
      </c>
      <c r="E102" s="327"/>
      <c r="F102" s="327"/>
      <c r="G102" s="326"/>
      <c r="H102" s="326"/>
      <c r="I102" s="327"/>
      <c r="J102" s="209">
        <f t="shared" si="15"/>
        <v>0</v>
      </c>
      <c r="K102" s="210"/>
      <c r="L102" s="210"/>
      <c r="M102" s="209"/>
      <c r="N102" s="209"/>
      <c r="O102" s="210"/>
    </row>
    <row r="103" spans="1:15" ht="13.5" thickTop="1" thickBot="1">
      <c r="A103" s="852"/>
      <c r="B103" s="207"/>
      <c r="C103" s="208" t="s">
        <v>90</v>
      </c>
      <c r="D103" s="326">
        <f t="shared" si="14"/>
        <v>0</v>
      </c>
      <c r="E103" s="327"/>
      <c r="F103" s="327"/>
      <c r="G103" s="327"/>
      <c r="H103" s="326"/>
      <c r="I103" s="326"/>
      <c r="J103" s="209">
        <f t="shared" si="15"/>
        <v>0</v>
      </c>
      <c r="K103" s="210"/>
      <c r="L103" s="210"/>
      <c r="M103" s="210"/>
      <c r="N103" s="209"/>
      <c r="O103" s="209"/>
    </row>
    <row r="104" spans="1:15" ht="13.5" thickTop="1" thickBot="1">
      <c r="A104" s="852"/>
      <c r="B104" s="207"/>
      <c r="C104" s="208" t="s">
        <v>91</v>
      </c>
      <c r="D104" s="326">
        <f t="shared" si="14"/>
        <v>0</v>
      </c>
      <c r="E104" s="327"/>
      <c r="F104" s="327"/>
      <c r="G104" s="327"/>
      <c r="H104" s="327"/>
      <c r="I104" s="326"/>
      <c r="J104" s="209">
        <f t="shared" si="15"/>
        <v>0</v>
      </c>
      <c r="K104" s="210"/>
      <c r="L104" s="210"/>
      <c r="M104" s="210"/>
      <c r="N104" s="210"/>
      <c r="O104" s="209"/>
    </row>
    <row r="105" spans="1:15" ht="13.5" thickTop="1" thickBot="1">
      <c r="A105" s="852"/>
      <c r="B105" s="182" t="s">
        <v>201</v>
      </c>
      <c r="C105" s="182" t="s">
        <v>97</v>
      </c>
      <c r="D105" s="324">
        <f t="shared" si="14"/>
        <v>0</v>
      </c>
      <c r="E105" s="324"/>
      <c r="F105" s="324"/>
      <c r="G105" s="324"/>
      <c r="H105" s="323"/>
      <c r="I105" s="324"/>
      <c r="J105" s="196">
        <f t="shared" si="15"/>
        <v>0</v>
      </c>
      <c r="K105" s="196"/>
      <c r="L105" s="196"/>
      <c r="M105" s="196"/>
      <c r="N105" s="185"/>
      <c r="O105" s="196"/>
    </row>
    <row r="106" spans="1:15" ht="13.5" thickTop="1" thickBot="1">
      <c r="A106" s="852"/>
      <c r="B106" s="182" t="s">
        <v>202</v>
      </c>
      <c r="C106" s="182" t="s">
        <v>99</v>
      </c>
      <c r="D106" s="324">
        <f t="shared" si="14"/>
        <v>0</v>
      </c>
      <c r="E106" s="324"/>
      <c r="F106" s="324"/>
      <c r="G106" s="324"/>
      <c r="H106" s="323"/>
      <c r="I106" s="324"/>
      <c r="J106" s="196">
        <f t="shared" si="15"/>
        <v>0</v>
      </c>
      <c r="K106" s="196"/>
      <c r="L106" s="196"/>
      <c r="M106" s="196"/>
      <c r="N106" s="196"/>
      <c r="O106" s="196"/>
    </row>
    <row r="107" spans="1:15" ht="13.5" thickTop="1" thickBot="1">
      <c r="A107" s="852"/>
      <c r="B107" s="204" t="s">
        <v>234</v>
      </c>
      <c r="C107" s="595" t="s">
        <v>235</v>
      </c>
      <c r="D107" s="325">
        <f t="shared" ref="D107:D118" si="16">SUM(E107:I107)</f>
        <v>0</v>
      </c>
      <c r="E107" s="284"/>
      <c r="F107" s="325"/>
      <c r="G107" s="284"/>
      <c r="H107" s="356">
        <f>январь!H107+февраль!H107</f>
        <v>0</v>
      </c>
      <c r="I107" s="284"/>
      <c r="J107" s="206">
        <f t="shared" ref="J107:J118" si="17">SUM(K107:O107)</f>
        <v>0</v>
      </c>
      <c r="K107" s="284"/>
      <c r="L107" s="325"/>
      <c r="M107" s="214"/>
      <c r="N107" s="356">
        <f>январь!N107+февраль!N107</f>
        <v>0</v>
      </c>
      <c r="O107" s="214"/>
    </row>
    <row r="108" spans="1:15" ht="13.5" thickTop="1" thickBot="1">
      <c r="A108" s="852"/>
      <c r="B108" s="182" t="s">
        <v>236</v>
      </c>
      <c r="C108" s="182" t="s">
        <v>88</v>
      </c>
      <c r="D108" s="324">
        <f t="shared" si="16"/>
        <v>0</v>
      </c>
      <c r="E108" s="324"/>
      <c r="F108" s="324"/>
      <c r="G108" s="324"/>
      <c r="H108" s="324"/>
      <c r="I108" s="324"/>
      <c r="J108" s="196">
        <f t="shared" si="17"/>
        <v>0</v>
      </c>
      <c r="K108" s="196"/>
      <c r="L108" s="196"/>
      <c r="M108" s="196"/>
      <c r="N108" s="196"/>
      <c r="O108" s="196"/>
    </row>
    <row r="109" spans="1:15" ht="13.5" thickTop="1" thickBot="1">
      <c r="A109" s="852"/>
      <c r="B109" s="207"/>
      <c r="C109" s="208" t="s">
        <v>89</v>
      </c>
      <c r="D109" s="326">
        <f t="shared" si="16"/>
        <v>0</v>
      </c>
      <c r="E109" s="327"/>
      <c r="F109" s="327"/>
      <c r="G109" s="326"/>
      <c r="H109" s="356">
        <f>январь!H109+февраль!H109</f>
        <v>0</v>
      </c>
      <c r="I109" s="327"/>
      <c r="J109" s="209">
        <f t="shared" si="17"/>
        <v>0</v>
      </c>
      <c r="K109" s="210"/>
      <c r="L109" s="210"/>
      <c r="M109" s="209"/>
      <c r="N109" s="356">
        <f>январь!N109+февраль!N109</f>
        <v>0</v>
      </c>
      <c r="O109" s="210"/>
    </row>
    <row r="110" spans="1:15" ht="13.5" thickTop="1" thickBot="1">
      <c r="A110" s="852"/>
      <c r="B110" s="207"/>
      <c r="C110" s="208" t="s">
        <v>90</v>
      </c>
      <c r="D110" s="326">
        <f t="shared" si="16"/>
        <v>0</v>
      </c>
      <c r="E110" s="327"/>
      <c r="F110" s="327"/>
      <c r="G110" s="327"/>
      <c r="H110" s="339"/>
      <c r="I110" s="326"/>
      <c r="J110" s="209">
        <f t="shared" si="17"/>
        <v>0</v>
      </c>
      <c r="K110" s="210"/>
      <c r="L110" s="210"/>
      <c r="M110" s="210"/>
      <c r="N110" s="699"/>
      <c r="O110" s="209"/>
    </row>
    <row r="111" spans="1:15" ht="13.5" thickTop="1" thickBot="1">
      <c r="A111" s="852"/>
      <c r="B111" s="207"/>
      <c r="C111" s="208" t="s">
        <v>91</v>
      </c>
      <c r="D111" s="326">
        <f t="shared" si="16"/>
        <v>0</v>
      </c>
      <c r="E111" s="327"/>
      <c r="F111" s="327"/>
      <c r="G111" s="327"/>
      <c r="H111" s="327"/>
      <c r="I111" s="326"/>
      <c r="J111" s="209">
        <f t="shared" si="17"/>
        <v>0</v>
      </c>
      <c r="K111" s="210"/>
      <c r="L111" s="210"/>
      <c r="M111" s="210"/>
      <c r="N111" s="210"/>
      <c r="O111" s="209"/>
    </row>
    <row r="112" spans="1:15" ht="13.5" thickTop="1" thickBot="1">
      <c r="A112" s="852"/>
      <c r="B112" s="182" t="s">
        <v>237</v>
      </c>
      <c r="C112" s="182" t="s">
        <v>93</v>
      </c>
      <c r="D112" s="324">
        <f t="shared" si="16"/>
        <v>0</v>
      </c>
      <c r="E112" s="324"/>
      <c r="F112" s="324"/>
      <c r="G112" s="328"/>
      <c r="H112" s="328"/>
      <c r="I112" s="324"/>
      <c r="J112" s="196">
        <f t="shared" si="17"/>
        <v>0</v>
      </c>
      <c r="K112" s="196"/>
      <c r="L112" s="196"/>
      <c r="M112" s="211"/>
      <c r="N112" s="211"/>
      <c r="O112" s="196"/>
    </row>
    <row r="113" spans="1:15" ht="13.5" thickTop="1" thickBot="1">
      <c r="A113" s="852"/>
      <c r="B113" s="182" t="s">
        <v>238</v>
      </c>
      <c r="C113" s="182" t="s">
        <v>95</v>
      </c>
      <c r="D113" s="330">
        <f t="shared" si="16"/>
        <v>0</v>
      </c>
      <c r="E113" s="380"/>
      <c r="F113" s="331"/>
      <c r="G113" s="326"/>
      <c r="H113" s="326"/>
      <c r="I113" s="324"/>
      <c r="J113" s="213">
        <f t="shared" si="17"/>
        <v>0</v>
      </c>
      <c r="K113" s="383"/>
      <c r="L113" s="320"/>
      <c r="M113" s="209"/>
      <c r="N113" s="209"/>
      <c r="O113" s="196"/>
    </row>
    <row r="114" spans="1:15" ht="13.5" thickTop="1" thickBot="1">
      <c r="A114" s="852"/>
      <c r="B114" s="207"/>
      <c r="C114" s="208" t="s">
        <v>89</v>
      </c>
      <c r="D114" s="326">
        <f t="shared" si="16"/>
        <v>0</v>
      </c>
      <c r="E114" s="327"/>
      <c r="F114" s="327"/>
      <c r="G114" s="326"/>
      <c r="H114" s="326"/>
      <c r="I114" s="327"/>
      <c r="J114" s="209">
        <f t="shared" si="17"/>
        <v>0</v>
      </c>
      <c r="K114" s="210"/>
      <c r="L114" s="210"/>
      <c r="M114" s="209"/>
      <c r="N114" s="209"/>
      <c r="O114" s="210"/>
    </row>
    <row r="115" spans="1:15" ht="13.5" thickTop="1" thickBot="1">
      <c r="A115" s="852"/>
      <c r="B115" s="207"/>
      <c r="C115" s="208" t="s">
        <v>90</v>
      </c>
      <c r="D115" s="326">
        <f t="shared" si="16"/>
        <v>0</v>
      </c>
      <c r="E115" s="327"/>
      <c r="F115" s="327"/>
      <c r="G115" s="327"/>
      <c r="H115" s="326"/>
      <c r="I115" s="326"/>
      <c r="J115" s="209">
        <f t="shared" si="17"/>
        <v>0</v>
      </c>
      <c r="K115" s="210"/>
      <c r="L115" s="210"/>
      <c r="M115" s="210"/>
      <c r="N115" s="209"/>
      <c r="O115" s="209"/>
    </row>
    <row r="116" spans="1:15" ht="13.5" thickTop="1" thickBot="1">
      <c r="A116" s="852"/>
      <c r="B116" s="207"/>
      <c r="C116" s="208" t="s">
        <v>91</v>
      </c>
      <c r="D116" s="326">
        <f t="shared" si="16"/>
        <v>0</v>
      </c>
      <c r="E116" s="327"/>
      <c r="F116" s="327"/>
      <c r="G116" s="327"/>
      <c r="H116" s="327"/>
      <c r="I116" s="326"/>
      <c r="J116" s="209">
        <f t="shared" si="17"/>
        <v>0</v>
      </c>
      <c r="K116" s="210"/>
      <c r="L116" s="210"/>
      <c r="M116" s="210"/>
      <c r="N116" s="210"/>
      <c r="O116" s="209"/>
    </row>
    <row r="117" spans="1:15" ht="13.5" thickTop="1" thickBot="1">
      <c r="A117" s="852"/>
      <c r="B117" s="182" t="s">
        <v>239</v>
      </c>
      <c r="C117" s="182" t="s">
        <v>97</v>
      </c>
      <c r="D117" s="324">
        <f t="shared" si="16"/>
        <v>0</v>
      </c>
      <c r="E117" s="324"/>
      <c r="F117" s="324"/>
      <c r="G117" s="324"/>
      <c r="H117" s="324"/>
      <c r="I117" s="324"/>
      <c r="J117" s="196">
        <f t="shared" si="17"/>
        <v>0</v>
      </c>
      <c r="K117" s="196"/>
      <c r="L117" s="196"/>
      <c r="M117" s="196"/>
      <c r="N117" s="185"/>
      <c r="O117" s="196"/>
    </row>
    <row r="118" spans="1:15" ht="13.5" thickTop="1" thickBot="1">
      <c r="A118" s="852"/>
      <c r="B118" s="182" t="s">
        <v>240</v>
      </c>
      <c r="C118" s="182" t="s">
        <v>99</v>
      </c>
      <c r="D118" s="324">
        <f t="shared" si="16"/>
        <v>0</v>
      </c>
      <c r="E118" s="324"/>
      <c r="F118" s="324"/>
      <c r="G118" s="324"/>
      <c r="H118" s="323"/>
      <c r="I118" s="324"/>
      <c r="J118" s="196">
        <f t="shared" si="17"/>
        <v>0</v>
      </c>
      <c r="K118" s="196"/>
      <c r="L118" s="196"/>
      <c r="M118" s="196"/>
      <c r="N118" s="196"/>
      <c r="O118" s="196"/>
    </row>
    <row r="119" spans="1:15" ht="13.5" thickTop="1" thickBot="1">
      <c r="A119" s="852"/>
      <c r="B119" s="204" t="s">
        <v>242</v>
      </c>
      <c r="C119" s="595" t="s">
        <v>248</v>
      </c>
      <c r="D119" s="325">
        <f t="shared" ref="D119:D130" si="18">SUM(E119:I119)</f>
        <v>0</v>
      </c>
      <c r="E119" s="284"/>
      <c r="F119" s="325"/>
      <c r="G119" s="284"/>
      <c r="H119" s="339"/>
      <c r="I119" s="284"/>
      <c r="J119" s="206">
        <f t="shared" ref="J119:J130" si="19">SUM(K119:O119)</f>
        <v>0</v>
      </c>
      <c r="K119" s="284"/>
      <c r="L119" s="325"/>
      <c r="M119" s="214"/>
      <c r="N119" s="339"/>
      <c r="O119" s="214"/>
    </row>
    <row r="120" spans="1:15" ht="13.5" thickTop="1" thickBot="1">
      <c r="A120" s="852"/>
      <c r="B120" s="182" t="s">
        <v>243</v>
      </c>
      <c r="C120" s="182" t="s">
        <v>88</v>
      </c>
      <c r="D120" s="324">
        <f t="shared" si="18"/>
        <v>0</v>
      </c>
      <c r="E120" s="324"/>
      <c r="F120" s="324"/>
      <c r="G120" s="324"/>
      <c r="H120" s="324"/>
      <c r="I120" s="324"/>
      <c r="J120" s="196">
        <f t="shared" si="19"/>
        <v>0</v>
      </c>
      <c r="K120" s="196"/>
      <c r="L120" s="196"/>
      <c r="M120" s="196"/>
      <c r="N120" s="196"/>
      <c r="O120" s="196"/>
    </row>
    <row r="121" spans="1:15" ht="13.5" thickTop="1" thickBot="1">
      <c r="A121" s="852"/>
      <c r="B121" s="207"/>
      <c r="C121" s="208" t="s">
        <v>89</v>
      </c>
      <c r="D121" s="326">
        <f t="shared" si="18"/>
        <v>0</v>
      </c>
      <c r="E121" s="327"/>
      <c r="F121" s="327"/>
      <c r="G121" s="326"/>
      <c r="H121" s="339"/>
      <c r="I121" s="327"/>
      <c r="J121" s="209">
        <f t="shared" si="19"/>
        <v>0</v>
      </c>
      <c r="K121" s="210"/>
      <c r="L121" s="210"/>
      <c r="M121" s="209"/>
      <c r="N121" s="339"/>
      <c r="O121" s="210"/>
    </row>
    <row r="122" spans="1:15" ht="13.5" thickTop="1" thickBot="1">
      <c r="A122" s="852"/>
      <c r="B122" s="207"/>
      <c r="C122" s="208" t="s">
        <v>90</v>
      </c>
      <c r="D122" s="326">
        <f t="shared" si="18"/>
        <v>0</v>
      </c>
      <c r="E122" s="327"/>
      <c r="F122" s="327"/>
      <c r="G122" s="327"/>
      <c r="H122" s="339"/>
      <c r="I122" s="326"/>
      <c r="J122" s="209">
        <f t="shared" si="19"/>
        <v>0</v>
      </c>
      <c r="K122" s="210"/>
      <c r="L122" s="210"/>
      <c r="M122" s="210"/>
      <c r="N122" s="699"/>
      <c r="O122" s="209"/>
    </row>
    <row r="123" spans="1:15" ht="13.5" thickTop="1" thickBot="1">
      <c r="A123" s="852"/>
      <c r="B123" s="207"/>
      <c r="C123" s="208" t="s">
        <v>91</v>
      </c>
      <c r="D123" s="326">
        <f t="shared" si="18"/>
        <v>0</v>
      </c>
      <c r="E123" s="327"/>
      <c r="F123" s="327"/>
      <c r="G123" s="327"/>
      <c r="H123" s="327"/>
      <c r="I123" s="326"/>
      <c r="J123" s="209">
        <f t="shared" si="19"/>
        <v>0</v>
      </c>
      <c r="K123" s="210"/>
      <c r="L123" s="210"/>
      <c r="M123" s="210"/>
      <c r="N123" s="210"/>
      <c r="O123" s="209"/>
    </row>
    <row r="124" spans="1:15" ht="13.5" thickTop="1" thickBot="1">
      <c r="A124" s="852"/>
      <c r="B124" s="182" t="s">
        <v>244</v>
      </c>
      <c r="C124" s="182" t="s">
        <v>93</v>
      </c>
      <c r="D124" s="324">
        <f t="shared" si="18"/>
        <v>0</v>
      </c>
      <c r="E124" s="324"/>
      <c r="F124" s="324"/>
      <c r="G124" s="328"/>
      <c r="H124" s="328"/>
      <c r="I124" s="324"/>
      <c r="J124" s="196">
        <f t="shared" si="19"/>
        <v>0</v>
      </c>
      <c r="K124" s="196"/>
      <c r="L124" s="196"/>
      <c r="M124" s="211"/>
      <c r="N124" s="211"/>
      <c r="O124" s="196"/>
    </row>
    <row r="125" spans="1:15" ht="13.5" thickTop="1" thickBot="1">
      <c r="A125" s="852"/>
      <c r="B125" s="182" t="s">
        <v>245</v>
      </c>
      <c r="C125" s="182" t="s">
        <v>95</v>
      </c>
      <c r="D125" s="330">
        <f t="shared" si="18"/>
        <v>0</v>
      </c>
      <c r="E125" s="380"/>
      <c r="F125" s="331"/>
      <c r="G125" s="326"/>
      <c r="H125" s="326"/>
      <c r="I125" s="324"/>
      <c r="J125" s="213">
        <f t="shared" si="19"/>
        <v>0</v>
      </c>
      <c r="K125" s="383"/>
      <c r="L125" s="320"/>
      <c r="M125" s="209"/>
      <c r="N125" s="209"/>
      <c r="O125" s="196"/>
    </row>
    <row r="126" spans="1:15" ht="13.5" thickTop="1" thickBot="1">
      <c r="A126" s="852"/>
      <c r="B126" s="207"/>
      <c r="C126" s="208" t="s">
        <v>89</v>
      </c>
      <c r="D126" s="326">
        <f t="shared" si="18"/>
        <v>0</v>
      </c>
      <c r="E126" s="327"/>
      <c r="F126" s="327"/>
      <c r="G126" s="326"/>
      <c r="H126" s="326"/>
      <c r="I126" s="327"/>
      <c r="J126" s="209">
        <f t="shared" si="19"/>
        <v>0</v>
      </c>
      <c r="K126" s="210"/>
      <c r="L126" s="210"/>
      <c r="M126" s="209"/>
      <c r="N126" s="209"/>
      <c r="O126" s="210"/>
    </row>
    <row r="127" spans="1:15" ht="13.5" thickTop="1" thickBot="1">
      <c r="A127" s="852"/>
      <c r="B127" s="207"/>
      <c r="C127" s="208" t="s">
        <v>90</v>
      </c>
      <c r="D127" s="326">
        <f t="shared" si="18"/>
        <v>0</v>
      </c>
      <c r="E127" s="327"/>
      <c r="F127" s="327"/>
      <c r="G127" s="327"/>
      <c r="H127" s="326"/>
      <c r="I127" s="326"/>
      <c r="J127" s="209">
        <f t="shared" si="19"/>
        <v>0</v>
      </c>
      <c r="K127" s="210"/>
      <c r="L127" s="210"/>
      <c r="M127" s="210"/>
      <c r="N127" s="209"/>
      <c r="O127" s="209"/>
    </row>
    <row r="128" spans="1:15" ht="13.5" thickTop="1" thickBot="1">
      <c r="A128" s="852"/>
      <c r="B128" s="207"/>
      <c r="C128" s="208" t="s">
        <v>91</v>
      </c>
      <c r="D128" s="326">
        <f t="shared" si="18"/>
        <v>0</v>
      </c>
      <c r="E128" s="327"/>
      <c r="F128" s="327"/>
      <c r="G128" s="327"/>
      <c r="H128" s="327"/>
      <c r="I128" s="326"/>
      <c r="J128" s="209">
        <f t="shared" si="19"/>
        <v>0</v>
      </c>
      <c r="K128" s="210"/>
      <c r="L128" s="210"/>
      <c r="M128" s="210"/>
      <c r="N128" s="210"/>
      <c r="O128" s="209"/>
    </row>
    <row r="129" spans="1:15" ht="13.5" thickTop="1" thickBot="1">
      <c r="A129" s="852"/>
      <c r="B129" s="182" t="s">
        <v>246</v>
      </c>
      <c r="C129" s="182" t="s">
        <v>97</v>
      </c>
      <c r="D129" s="324">
        <f t="shared" si="18"/>
        <v>0</v>
      </c>
      <c r="E129" s="324"/>
      <c r="F129" s="324"/>
      <c r="G129" s="324"/>
      <c r="H129" s="324"/>
      <c r="I129" s="324"/>
      <c r="J129" s="196">
        <f t="shared" si="19"/>
        <v>0</v>
      </c>
      <c r="K129" s="196"/>
      <c r="L129" s="196"/>
      <c r="M129" s="196"/>
      <c r="N129" s="185"/>
      <c r="O129" s="196"/>
    </row>
    <row r="130" spans="1:15" ht="13.5" thickTop="1" thickBot="1">
      <c r="A130" s="852"/>
      <c r="B130" s="182" t="s">
        <v>247</v>
      </c>
      <c r="C130" s="182" t="s">
        <v>99</v>
      </c>
      <c r="D130" s="324">
        <f t="shared" si="18"/>
        <v>0</v>
      </c>
      <c r="E130" s="324"/>
      <c r="F130" s="324"/>
      <c r="G130" s="324"/>
      <c r="H130" s="323"/>
      <c r="I130" s="324"/>
      <c r="J130" s="196">
        <f t="shared" si="19"/>
        <v>0</v>
      </c>
      <c r="K130" s="196"/>
      <c r="L130" s="196"/>
      <c r="M130" s="196"/>
      <c r="N130" s="196"/>
      <c r="O130" s="196"/>
    </row>
    <row r="131" spans="1:15" ht="13.5" thickTop="1" thickBot="1">
      <c r="A131" s="852"/>
      <c r="B131" s="204" t="s">
        <v>250</v>
      </c>
      <c r="C131" s="595" t="s">
        <v>249</v>
      </c>
      <c r="D131" s="325">
        <f t="shared" ref="D131:D142" si="20">SUM(E131:I131)</f>
        <v>0</v>
      </c>
      <c r="E131" s="284"/>
      <c r="F131" s="325"/>
      <c r="G131" s="284"/>
      <c r="H131" s="339"/>
      <c r="I131" s="284"/>
      <c r="J131" s="206">
        <f t="shared" ref="J131:J142" si="21">SUM(K131:O131)</f>
        <v>0</v>
      </c>
      <c r="K131" s="284"/>
      <c r="L131" s="325"/>
      <c r="M131" s="214"/>
      <c r="N131" s="339"/>
      <c r="O131" s="214"/>
    </row>
    <row r="132" spans="1:15" ht="13.5" thickTop="1" thickBot="1">
      <c r="A132" s="852"/>
      <c r="B132" s="182" t="s">
        <v>251</v>
      </c>
      <c r="C132" s="182" t="s">
        <v>88</v>
      </c>
      <c r="D132" s="324">
        <f t="shared" si="20"/>
        <v>0</v>
      </c>
      <c r="E132" s="324"/>
      <c r="F132" s="324"/>
      <c r="G132" s="324"/>
      <c r="H132" s="324"/>
      <c r="I132" s="324"/>
      <c r="J132" s="196">
        <f t="shared" si="21"/>
        <v>0</v>
      </c>
      <c r="K132" s="196"/>
      <c r="L132" s="196"/>
      <c r="M132" s="196"/>
      <c r="N132" s="196"/>
      <c r="O132" s="196"/>
    </row>
    <row r="133" spans="1:15" ht="13.5" thickTop="1" thickBot="1">
      <c r="A133" s="852"/>
      <c r="B133" s="207"/>
      <c r="C133" s="208" t="s">
        <v>89</v>
      </c>
      <c r="D133" s="326">
        <f t="shared" si="20"/>
        <v>0</v>
      </c>
      <c r="E133" s="327"/>
      <c r="F133" s="327"/>
      <c r="G133" s="326"/>
      <c r="H133" s="339"/>
      <c r="I133" s="327"/>
      <c r="J133" s="209">
        <f t="shared" si="21"/>
        <v>0</v>
      </c>
      <c r="K133" s="210"/>
      <c r="L133" s="210"/>
      <c r="M133" s="209"/>
      <c r="N133" s="339"/>
      <c r="O133" s="210"/>
    </row>
    <row r="134" spans="1:15" ht="13.5" thickTop="1" thickBot="1">
      <c r="A134" s="852"/>
      <c r="B134" s="207"/>
      <c r="C134" s="208" t="s">
        <v>90</v>
      </c>
      <c r="D134" s="326">
        <f t="shared" si="20"/>
        <v>0</v>
      </c>
      <c r="E134" s="327"/>
      <c r="F134" s="327"/>
      <c r="G134" s="327"/>
      <c r="H134" s="339"/>
      <c r="I134" s="326"/>
      <c r="J134" s="209">
        <f t="shared" si="21"/>
        <v>0</v>
      </c>
      <c r="K134" s="210"/>
      <c r="L134" s="210"/>
      <c r="M134" s="210"/>
      <c r="N134" s="699"/>
      <c r="O134" s="209"/>
    </row>
    <row r="135" spans="1:15" ht="13.5" thickTop="1" thickBot="1">
      <c r="A135" s="852"/>
      <c r="B135" s="207"/>
      <c r="C135" s="208" t="s">
        <v>91</v>
      </c>
      <c r="D135" s="326">
        <f t="shared" si="20"/>
        <v>0</v>
      </c>
      <c r="E135" s="327"/>
      <c r="F135" s="327"/>
      <c r="G135" s="327"/>
      <c r="H135" s="327"/>
      <c r="I135" s="326"/>
      <c r="J135" s="209">
        <f t="shared" si="21"/>
        <v>0</v>
      </c>
      <c r="K135" s="210"/>
      <c r="L135" s="210"/>
      <c r="M135" s="210"/>
      <c r="N135" s="210"/>
      <c r="O135" s="209"/>
    </row>
    <row r="136" spans="1:15" ht="13.5" thickTop="1" thickBot="1">
      <c r="A136" s="852"/>
      <c r="B136" s="182" t="s">
        <v>252</v>
      </c>
      <c r="C136" s="182" t="s">
        <v>93</v>
      </c>
      <c r="D136" s="324">
        <f t="shared" si="20"/>
        <v>0</v>
      </c>
      <c r="E136" s="324"/>
      <c r="F136" s="324"/>
      <c r="G136" s="328"/>
      <c r="H136" s="328"/>
      <c r="I136" s="324"/>
      <c r="J136" s="196">
        <f t="shared" si="21"/>
        <v>0</v>
      </c>
      <c r="K136" s="196"/>
      <c r="L136" s="196"/>
      <c r="M136" s="211"/>
      <c r="N136" s="211"/>
      <c r="O136" s="196"/>
    </row>
    <row r="137" spans="1:15" ht="13.5" thickTop="1" thickBot="1">
      <c r="A137" s="852"/>
      <c r="B137" s="182" t="s">
        <v>253</v>
      </c>
      <c r="C137" s="182" t="s">
        <v>95</v>
      </c>
      <c r="D137" s="330">
        <f t="shared" si="20"/>
        <v>0</v>
      </c>
      <c r="E137" s="380"/>
      <c r="F137" s="331"/>
      <c r="G137" s="326"/>
      <c r="H137" s="326"/>
      <c r="I137" s="324"/>
      <c r="J137" s="213">
        <f t="shared" si="21"/>
        <v>0</v>
      </c>
      <c r="K137" s="383"/>
      <c r="L137" s="320"/>
      <c r="M137" s="209"/>
      <c r="N137" s="209"/>
      <c r="O137" s="196"/>
    </row>
    <row r="138" spans="1:15" ht="13.5" thickTop="1" thickBot="1">
      <c r="A138" s="852"/>
      <c r="B138" s="207"/>
      <c r="C138" s="208" t="s">
        <v>89</v>
      </c>
      <c r="D138" s="326">
        <f t="shared" si="20"/>
        <v>0</v>
      </c>
      <c r="E138" s="327"/>
      <c r="F138" s="327"/>
      <c r="G138" s="326"/>
      <c r="H138" s="326"/>
      <c r="I138" s="327"/>
      <c r="J138" s="209">
        <f t="shared" si="21"/>
        <v>0</v>
      </c>
      <c r="K138" s="210"/>
      <c r="L138" s="210"/>
      <c r="M138" s="209"/>
      <c r="N138" s="209"/>
      <c r="O138" s="210"/>
    </row>
    <row r="139" spans="1:15" ht="13.5" thickTop="1" thickBot="1">
      <c r="A139" s="852"/>
      <c r="B139" s="207"/>
      <c r="C139" s="208" t="s">
        <v>90</v>
      </c>
      <c r="D139" s="326">
        <f t="shared" si="20"/>
        <v>0</v>
      </c>
      <c r="E139" s="327"/>
      <c r="F139" s="327"/>
      <c r="G139" s="327"/>
      <c r="H139" s="326"/>
      <c r="I139" s="326"/>
      <c r="J139" s="209">
        <f t="shared" si="21"/>
        <v>0</v>
      </c>
      <c r="K139" s="210"/>
      <c r="L139" s="210"/>
      <c r="M139" s="210"/>
      <c r="N139" s="209"/>
      <c r="O139" s="209"/>
    </row>
    <row r="140" spans="1:15" ht="13.5" thickTop="1" thickBot="1">
      <c r="A140" s="852"/>
      <c r="B140" s="207"/>
      <c r="C140" s="208" t="s">
        <v>91</v>
      </c>
      <c r="D140" s="326">
        <f t="shared" si="20"/>
        <v>0</v>
      </c>
      <c r="E140" s="327"/>
      <c r="F140" s="327"/>
      <c r="G140" s="327"/>
      <c r="H140" s="327"/>
      <c r="I140" s="326"/>
      <c r="J140" s="209">
        <f t="shared" si="21"/>
        <v>0</v>
      </c>
      <c r="K140" s="210"/>
      <c r="L140" s="210"/>
      <c r="M140" s="210"/>
      <c r="N140" s="210"/>
      <c r="O140" s="209"/>
    </row>
    <row r="141" spans="1:15" ht="13.5" thickTop="1" thickBot="1">
      <c r="A141" s="852"/>
      <c r="B141" s="182" t="s">
        <v>254</v>
      </c>
      <c r="C141" s="182" t="s">
        <v>97</v>
      </c>
      <c r="D141" s="324">
        <f t="shared" si="20"/>
        <v>0</v>
      </c>
      <c r="E141" s="324"/>
      <c r="F141" s="324"/>
      <c r="G141" s="324"/>
      <c r="H141" s="324"/>
      <c r="I141" s="324"/>
      <c r="J141" s="196">
        <f t="shared" si="21"/>
        <v>0</v>
      </c>
      <c r="K141" s="196"/>
      <c r="L141" s="196"/>
      <c r="M141" s="196"/>
      <c r="N141" s="185"/>
      <c r="O141" s="196"/>
    </row>
    <row r="142" spans="1:15" ht="13.5" thickTop="1" thickBot="1">
      <c r="A142" s="852"/>
      <c r="B142" s="182" t="s">
        <v>255</v>
      </c>
      <c r="C142" s="182" t="s">
        <v>99</v>
      </c>
      <c r="D142" s="324">
        <f t="shared" si="20"/>
        <v>0</v>
      </c>
      <c r="E142" s="324"/>
      <c r="F142" s="324"/>
      <c r="G142" s="324"/>
      <c r="H142" s="323"/>
      <c r="I142" s="324"/>
      <c r="J142" s="196">
        <f t="shared" si="21"/>
        <v>0</v>
      </c>
      <c r="K142" s="196"/>
      <c r="L142" s="196"/>
      <c r="M142" s="196"/>
      <c r="N142" s="196"/>
      <c r="O142" s="196"/>
    </row>
    <row r="143" spans="1:15" ht="12.75" customHeight="1" thickTop="1" thickBot="1">
      <c r="A143" s="852"/>
      <c r="B143" s="257" t="s">
        <v>100</v>
      </c>
      <c r="C143" s="257" t="s">
        <v>101</v>
      </c>
      <c r="D143" s="285">
        <f t="shared" si="12"/>
        <v>597933.5</v>
      </c>
      <c r="E143" s="286">
        <f>SUM(E144:E147)</f>
        <v>0</v>
      </c>
      <c r="F143" s="286">
        <f>SUM(F144:F147)</f>
        <v>197150</v>
      </c>
      <c r="G143" s="286">
        <f>SUM(G144:G147)</f>
        <v>8154.9</v>
      </c>
      <c r="H143" s="286">
        <f>SUM(H144:H147)</f>
        <v>156048.6</v>
      </c>
      <c r="I143" s="261">
        <f>SUM(I144:I147)</f>
        <v>236580</v>
      </c>
      <c r="J143" s="416">
        <f t="shared" si="13"/>
        <v>558933.40399999986</v>
      </c>
      <c r="K143" s="609">
        <f>SUM(K144:K147)</f>
        <v>0</v>
      </c>
      <c r="L143" s="609">
        <f>SUM(L144:L147)</f>
        <v>192092.215</v>
      </c>
      <c r="M143" s="609">
        <f>SUM(M144:M147)</f>
        <v>5163.3869999999997</v>
      </c>
      <c r="N143" s="609">
        <f>SUM(N144:N147)</f>
        <v>126259.40899999999</v>
      </c>
      <c r="O143" s="416">
        <f>SUM(O144:O147)</f>
        <v>235418.39299999998</v>
      </c>
    </row>
    <row r="144" spans="1:15" ht="12.75" customHeight="1" thickTop="1" thickBot="1">
      <c r="A144" s="852"/>
      <c r="B144" s="249" t="s">
        <v>102</v>
      </c>
      <c r="C144" s="250" t="s">
        <v>103</v>
      </c>
      <c r="D144" s="358">
        <f t="shared" si="12"/>
        <v>134657.98811999999</v>
      </c>
      <c r="E144" s="252"/>
      <c r="F144" s="287"/>
      <c r="G144" s="287"/>
      <c r="H144" s="287"/>
      <c r="I144" s="356">
        <f>январь!I144+февраль!I144</f>
        <v>134657.98811999999</v>
      </c>
      <c r="J144" s="413">
        <f t="shared" si="13"/>
        <v>162214.27499999999</v>
      </c>
      <c r="K144" s="413"/>
      <c r="L144" s="414"/>
      <c r="M144" s="414"/>
      <c r="N144" s="414"/>
      <c r="O144" s="356">
        <f>январь!O144+февраль!O144</f>
        <v>162214.27499999999</v>
      </c>
    </row>
    <row r="145" spans="1:16" ht="12.75" customHeight="1" thickTop="1" thickBot="1">
      <c r="A145" s="852"/>
      <c r="B145" s="249" t="s">
        <v>104</v>
      </c>
      <c r="C145" s="250" t="s">
        <v>206</v>
      </c>
      <c r="D145" s="358">
        <f t="shared" si="12"/>
        <v>0</v>
      </c>
      <c r="E145" s="252"/>
      <c r="F145" s="287"/>
      <c r="G145" s="287"/>
      <c r="H145" s="287"/>
      <c r="I145" s="356">
        <f>январь!I145+февраль!I145</f>
        <v>0</v>
      </c>
      <c r="J145" s="413">
        <f t="shared" si="13"/>
        <v>0</v>
      </c>
      <c r="K145" s="413"/>
      <c r="L145" s="605"/>
      <c r="M145" s="605"/>
      <c r="N145" s="606"/>
      <c r="O145" s="356">
        <f>январь!O145+февраль!O145</f>
        <v>0</v>
      </c>
    </row>
    <row r="146" spans="1:16" ht="12.75" customHeight="1" thickTop="1" thickBot="1">
      <c r="A146" s="852"/>
      <c r="B146" s="249" t="s">
        <v>106</v>
      </c>
      <c r="C146" s="250" t="s">
        <v>105</v>
      </c>
      <c r="D146" s="358">
        <f t="shared" si="12"/>
        <v>463275.51188000001</v>
      </c>
      <c r="E146" s="356">
        <f>январь!E146+февраль!E146</f>
        <v>0</v>
      </c>
      <c r="F146" s="356">
        <f>январь!F146+февраль!F146</f>
        <v>197150</v>
      </c>
      <c r="G146" s="356">
        <f>январь!G146+февраль!G146</f>
        <v>8154.9</v>
      </c>
      <c r="H146" s="356">
        <f>январь!H146+февраль!H146</f>
        <v>156048.6</v>
      </c>
      <c r="I146" s="356">
        <f>январь!I146+февраль!I146</f>
        <v>101922.01188000001</v>
      </c>
      <c r="J146" s="413">
        <f t="shared" si="13"/>
        <v>346582.033</v>
      </c>
      <c r="K146" s="413"/>
      <c r="L146" s="356">
        <f>январь!L146+февраль!L146</f>
        <v>192092.215</v>
      </c>
      <c r="M146" s="356">
        <f>январь!M146+февраль!M146</f>
        <v>4944.0540000000001</v>
      </c>
      <c r="N146" s="356">
        <f>январь!N146+февраль!N146</f>
        <v>87083.480999999985</v>
      </c>
      <c r="O146" s="356">
        <f>январь!O146+февраль!O146</f>
        <v>62462.282999999996</v>
      </c>
    </row>
    <row r="147" spans="1:16" ht="12.75" customHeight="1" thickTop="1" thickBot="1">
      <c r="A147" s="852"/>
      <c r="B147" s="249" t="s">
        <v>207</v>
      </c>
      <c r="C147" s="250" t="s">
        <v>107</v>
      </c>
      <c r="D147" s="358">
        <f t="shared" si="12"/>
        <v>0</v>
      </c>
      <c r="E147" s="356">
        <f>январь!E147+февраль!E147</f>
        <v>0</v>
      </c>
      <c r="F147" s="356">
        <f>январь!F147+февраль!F147</f>
        <v>0</v>
      </c>
      <c r="G147" s="356">
        <f>январь!G147+февраль!G147</f>
        <v>0</v>
      </c>
      <c r="H147" s="356">
        <f>январь!H147+февраль!H147</f>
        <v>0</v>
      </c>
      <c r="I147" s="356">
        <f>январь!I147+февраль!I147</f>
        <v>0</v>
      </c>
      <c r="J147" s="413">
        <f t="shared" si="13"/>
        <v>50137.095999999998</v>
      </c>
      <c r="K147" s="356">
        <f>январь!K147+февраль!K147</f>
        <v>0</v>
      </c>
      <c r="L147" s="356">
        <f>январь!L147+февраль!L147</f>
        <v>0</v>
      </c>
      <c r="M147" s="356">
        <f>январь!M147+февраль!M147</f>
        <v>219.333</v>
      </c>
      <c r="N147" s="356">
        <f>январь!N147+февраль!N147</f>
        <v>39175.928</v>
      </c>
      <c r="O147" s="356">
        <f>январь!O147+февраль!O147</f>
        <v>10741.834999999999</v>
      </c>
    </row>
    <row r="148" spans="1:16" ht="12.75" customHeight="1" thickTop="1" thickBot="1">
      <c r="A148" s="852"/>
      <c r="B148" s="249" t="s">
        <v>108</v>
      </c>
      <c r="C148" s="249" t="s">
        <v>169</v>
      </c>
      <c r="D148" s="291">
        <f>D150/1.18/D143</f>
        <v>1.1914798653261507</v>
      </c>
      <c r="E148" s="596">
        <v>0.93222000000000005</v>
      </c>
      <c r="F148" s="596">
        <v>0.93222000000000005</v>
      </c>
      <c r="G148" s="596">
        <v>1.21035</v>
      </c>
      <c r="H148" s="596">
        <v>1.94818</v>
      </c>
      <c r="I148" s="596">
        <v>2.8441000000000001</v>
      </c>
      <c r="J148" s="291">
        <f>J150/1.18/J143</f>
        <v>1.1491046953422024</v>
      </c>
      <c r="K148" s="596">
        <v>0.93222000000000005</v>
      </c>
      <c r="L148" s="596">
        <v>0.93222000000000005</v>
      </c>
      <c r="M148" s="596">
        <v>1.21035</v>
      </c>
      <c r="N148" s="596">
        <v>1.94818</v>
      </c>
      <c r="O148" s="596">
        <v>2.8441000000000001</v>
      </c>
    </row>
    <row r="149" spans="1:16" ht="12.75" customHeight="1" thickTop="1" thickBot="1">
      <c r="A149" s="852"/>
      <c r="B149" s="249" t="s">
        <v>205</v>
      </c>
      <c r="C149" s="249" t="s">
        <v>169</v>
      </c>
      <c r="D149" s="291"/>
      <c r="E149" s="289"/>
      <c r="F149" s="290"/>
      <c r="G149" s="290"/>
      <c r="H149" s="290"/>
      <c r="I149" s="598">
        <v>1.5637700000000001</v>
      </c>
      <c r="J149" s="291"/>
      <c r="K149" s="289"/>
      <c r="L149" s="290"/>
      <c r="M149" s="290"/>
      <c r="N149" s="290"/>
      <c r="O149" s="598">
        <v>1.5637700000000001</v>
      </c>
    </row>
    <row r="150" spans="1:16" ht="12.75" customHeight="1" thickTop="1" thickBot="1">
      <c r="A150" s="852"/>
      <c r="B150" s="249" t="s">
        <v>109</v>
      </c>
      <c r="C150" s="292" t="s">
        <v>110</v>
      </c>
      <c r="D150" s="285">
        <f>SUM(E150:I150)</f>
        <v>840662.35674371279</v>
      </c>
      <c r="E150" s="370">
        <f>январь!E150+февраль!E150</f>
        <v>0</v>
      </c>
      <c r="F150" s="370">
        <f>январь!F150+февраль!F150</f>
        <v>126130.71475751279</v>
      </c>
      <c r="G150" s="370">
        <f>январь!G150+февраль!G150</f>
        <v>8497.205189459999</v>
      </c>
      <c r="H150" s="370">
        <f>январь!H150+февраль!H150</f>
        <v>261719.93683283997</v>
      </c>
      <c r="I150" s="370">
        <f>январь!I150+февраль!I150</f>
        <v>444314.49996390007</v>
      </c>
      <c r="J150" s="285">
        <f>SUM(K150:O150)</f>
        <v>757882.13872559986</v>
      </c>
      <c r="K150" s="370">
        <f>январь!K150+февраль!K150</f>
        <v>0</v>
      </c>
      <c r="L150" s="370">
        <f>январь!L150+февраль!L150</f>
        <v>124981.05610319997</v>
      </c>
      <c r="M150" s="370">
        <f>январь!M150+февраль!M150</f>
        <v>5226.6204211999993</v>
      </c>
      <c r="N150" s="370">
        <f>январь!N150+февраль!N150</f>
        <v>210267.92030399997</v>
      </c>
      <c r="O150" s="370">
        <f>январь!O150+февраль!O150</f>
        <v>417406.54189719993</v>
      </c>
    </row>
    <row r="151" spans="1:16" ht="12.75" customHeight="1" thickTop="1" thickBot="1">
      <c r="A151" s="853" t="s">
        <v>111</v>
      </c>
      <c r="B151" s="417" t="s">
        <v>112</v>
      </c>
      <c r="C151" s="418" t="s">
        <v>113</v>
      </c>
      <c r="D151" s="447">
        <f>SUM(E151:I151)</f>
        <v>166820</v>
      </c>
      <c r="E151" s="315">
        <f>E44-E34-E46</f>
        <v>0</v>
      </c>
      <c r="F151" s="315">
        <f>F44-F34-F46</f>
        <v>28510</v>
      </c>
      <c r="G151" s="315">
        <f>G44-G34-G46</f>
        <v>13300</v>
      </c>
      <c r="H151" s="315">
        <f>H44-H34-H46</f>
        <v>50860</v>
      </c>
      <c r="I151" s="315">
        <f>I44-I34-I46</f>
        <v>74150</v>
      </c>
      <c r="J151" s="610">
        <f>SUM(K151:O151)</f>
        <v>175272.37499999997</v>
      </c>
      <c r="K151" s="315">
        <f>K44-K34-K46</f>
        <v>0</v>
      </c>
      <c r="L151" s="315">
        <f>L44-L34-L46</f>
        <v>28553.852400000003</v>
      </c>
      <c r="M151" s="315">
        <f>M44-M34-M46</f>
        <v>11312.364999999971</v>
      </c>
      <c r="N151" s="315">
        <f>N44-N34-N46</f>
        <v>46937.198600000003</v>
      </c>
      <c r="O151" s="315">
        <f>O44-O34-O46</f>
        <v>88468.959000000003</v>
      </c>
    </row>
    <row r="152" spans="1:16" ht="12.75" customHeight="1" thickTop="1" thickBot="1">
      <c r="A152" s="853"/>
      <c r="B152" s="419" t="s">
        <v>114</v>
      </c>
      <c r="C152" s="15" t="s">
        <v>115</v>
      </c>
      <c r="D152" s="346">
        <f t="shared" ref="D152:J152" si="22">IF(D44=0,0,D151/D44*100)</f>
        <v>21.591747453437051</v>
      </c>
      <c r="E152" s="346">
        <f t="shared" si="22"/>
        <v>0</v>
      </c>
      <c r="F152" s="346">
        <f t="shared" si="22"/>
        <v>5.0163634444170739</v>
      </c>
      <c r="G152" s="346">
        <f t="shared" si="22"/>
        <v>5.6245110270018817</v>
      </c>
      <c r="H152" s="346">
        <f t="shared" si="22"/>
        <v>8.8950295568225535</v>
      </c>
      <c r="I152" s="346">
        <f t="shared" si="22"/>
        <v>23.619162897368923</v>
      </c>
      <c r="J152" s="346">
        <f t="shared" si="22"/>
        <v>23.734522202240338</v>
      </c>
      <c r="K152" s="346">
        <f>IF(K44=0,0,K151/K44*100)</f>
        <v>0</v>
      </c>
      <c r="L152" s="346">
        <f t="shared" ref="L152:O152" si="23">IF(L44=0,0,L151/L44*100)</f>
        <v>4.9947086758134107</v>
      </c>
      <c r="M152" s="346">
        <f t="shared" si="23"/>
        <v>5.348525422902596</v>
      </c>
      <c r="N152" s="346">
        <f t="shared" si="23"/>
        <v>8.5576114479740628</v>
      </c>
      <c r="O152" s="346">
        <f t="shared" si="23"/>
        <v>27.059801194283867</v>
      </c>
    </row>
    <row r="153" spans="1:16" ht="12.75" customHeight="1" thickTop="1" thickBot="1">
      <c r="A153" s="853"/>
      <c r="B153" s="419" t="s">
        <v>116</v>
      </c>
      <c r="C153" s="15" t="s">
        <v>117</v>
      </c>
      <c r="D153" s="346">
        <f t="shared" ref="D153:J153" si="24">IF(D45=0,0,D151/D45*100)</f>
        <v>21.591747453437051</v>
      </c>
      <c r="E153" s="346">
        <f t="shared" si="24"/>
        <v>0</v>
      </c>
      <c r="F153" s="346">
        <f t="shared" si="24"/>
        <v>5.0163634444170739</v>
      </c>
      <c r="G153" s="346">
        <f t="shared" si="24"/>
        <v>5.8417911195111873</v>
      </c>
      <c r="H153" s="346">
        <f t="shared" si="24"/>
        <v>9.7631467508838856</v>
      </c>
      <c r="I153" s="346">
        <f t="shared" si="24"/>
        <v>23.863160943584464</v>
      </c>
      <c r="J153" s="346">
        <f t="shared" si="24"/>
        <v>23.734522202240338</v>
      </c>
      <c r="K153" s="346">
        <f>IF(K45=0,0,K151/K45*100)</f>
        <v>0</v>
      </c>
      <c r="L153" s="346">
        <f t="shared" ref="L153:O153" si="25">IF(L45=0,0,L151/L45*100)</f>
        <v>4.9947086758134116</v>
      </c>
      <c r="M153" s="346">
        <f t="shared" si="25"/>
        <v>5.535722656246258</v>
      </c>
      <c r="N153" s="346">
        <f t="shared" si="25"/>
        <v>9.3834946998980762</v>
      </c>
      <c r="O153" s="346">
        <f t="shared" si="25"/>
        <v>27.314731017962078</v>
      </c>
    </row>
    <row r="154" spans="1:16" ht="12.75" customHeight="1" thickTop="1" thickBot="1">
      <c r="A154" s="853"/>
      <c r="B154" s="420" t="s">
        <v>118</v>
      </c>
      <c r="C154" s="421" t="s">
        <v>209</v>
      </c>
      <c r="D154" s="442">
        <f>SUM(E154:I154)</f>
        <v>9182.2298080871733</v>
      </c>
      <c r="E154" s="299">
        <v>0</v>
      </c>
      <c r="F154" s="356">
        <f>январь!F154+февраль!F154</f>
        <v>9182.2298080871733</v>
      </c>
      <c r="G154" s="299">
        <v>0</v>
      </c>
      <c r="H154" s="299">
        <v>0</v>
      </c>
      <c r="I154" s="299">
        <v>0</v>
      </c>
      <c r="J154" s="422">
        <f>SUM(K154:O154)</f>
        <v>8436.1167699999987</v>
      </c>
      <c r="K154" s="422">
        <v>0</v>
      </c>
      <c r="L154" s="356">
        <f>январь!L154+февраль!L154</f>
        <v>8436.1167699999987</v>
      </c>
      <c r="M154" s="422">
        <v>0</v>
      </c>
      <c r="N154" s="422">
        <v>0</v>
      </c>
      <c r="O154" s="422">
        <v>0</v>
      </c>
    </row>
    <row r="155" spans="1:16" ht="12.75" customHeight="1" thickTop="1" thickBot="1">
      <c r="A155" s="853"/>
      <c r="B155" s="423" t="s">
        <v>120</v>
      </c>
      <c r="C155" s="412" t="s">
        <v>121</v>
      </c>
      <c r="D155" s="443">
        <f>SUM(E155:I155)</f>
        <v>166820</v>
      </c>
      <c r="E155" s="251">
        <f>E151</f>
        <v>0</v>
      </c>
      <c r="F155" s="251">
        <f>F151</f>
        <v>28510</v>
      </c>
      <c r="G155" s="251">
        <f>G151</f>
        <v>13300</v>
      </c>
      <c r="H155" s="251">
        <f>H151</f>
        <v>50860</v>
      </c>
      <c r="I155" s="251">
        <f>I151</f>
        <v>74150</v>
      </c>
      <c r="J155" s="424">
        <f>SUM(K155:O155)</f>
        <v>175272.37499999997</v>
      </c>
      <c r="K155" s="424">
        <f>K151</f>
        <v>0</v>
      </c>
      <c r="L155" s="424">
        <f>L151</f>
        <v>28553.852400000003</v>
      </c>
      <c r="M155" s="424">
        <f>M151</f>
        <v>11312.364999999971</v>
      </c>
      <c r="N155" s="424">
        <f>N151</f>
        <v>46937.198600000003</v>
      </c>
      <c r="O155" s="424">
        <f>O151</f>
        <v>88468.959000000003</v>
      </c>
    </row>
    <row r="156" spans="1:16" ht="12.75" customHeight="1" thickTop="1" thickBot="1">
      <c r="A156" s="853"/>
      <c r="B156" s="423" t="s">
        <v>122</v>
      </c>
      <c r="C156" s="412" t="s">
        <v>167</v>
      </c>
      <c r="D156" s="444">
        <f>D157/1.18/D155</f>
        <v>1.6149965779636315</v>
      </c>
      <c r="E156" s="341">
        <v>1.6149965779636315</v>
      </c>
      <c r="F156" s="341">
        <v>1.6149965779636315</v>
      </c>
      <c r="G156" s="341">
        <v>1.6149965779636315</v>
      </c>
      <c r="H156" s="341">
        <v>1.6149965779636315</v>
      </c>
      <c r="I156" s="341">
        <v>1.6149965779636315</v>
      </c>
      <c r="J156" s="425">
        <f>J157/1.18/J155</f>
        <v>1.4603715106844415</v>
      </c>
      <c r="K156" s="426">
        <v>1.4603715106844417</v>
      </c>
      <c r="L156" s="426">
        <v>1.4603715106844417</v>
      </c>
      <c r="M156" s="426">
        <v>1.4603715106844417</v>
      </c>
      <c r="N156" s="426">
        <v>1.4603715106844417</v>
      </c>
      <c r="O156" s="426">
        <v>1.4603715106844417</v>
      </c>
    </row>
    <row r="157" spans="1:16" ht="12.75" customHeight="1" thickTop="1" thickBot="1">
      <c r="A157" s="853"/>
      <c r="B157" s="423" t="s">
        <v>124</v>
      </c>
      <c r="C157" s="412" t="s">
        <v>168</v>
      </c>
      <c r="D157" s="443">
        <f>SUM(E157:I157)</f>
        <v>317908.20038035372</v>
      </c>
      <c r="E157" s="357">
        <f>E155*E156*1.18</f>
        <v>0</v>
      </c>
      <c r="F157" s="357">
        <f>F155*F156*1.18</f>
        <v>54331.391876536894</v>
      </c>
      <c r="G157" s="357">
        <f>G155*G156*1.18</f>
        <v>25345.756294561234</v>
      </c>
      <c r="H157" s="357">
        <f>H155*H156*1.18</f>
        <v>96923.696627171754</v>
      </c>
      <c r="I157" s="357">
        <f>I155*I156*1.18</f>
        <v>141307.35558208387</v>
      </c>
      <c r="J157" s="607">
        <f>SUM(K157:O157)</f>
        <v>302036.08401079988</v>
      </c>
      <c r="K157" s="424">
        <f>K155*K156*1.18</f>
        <v>0</v>
      </c>
      <c r="L157" s="424">
        <f>L155*L156*1.18</f>
        <v>49205.094426993317</v>
      </c>
      <c r="M157" s="424">
        <f>M155*M156*1.18</f>
        <v>19493.901566067238</v>
      </c>
      <c r="N157" s="424">
        <f>N155*N156*1.18</f>
        <v>80883.982199597638</v>
      </c>
      <c r="O157" s="424">
        <f>O155*O156*1.18</f>
        <v>152453.10581814172</v>
      </c>
    </row>
    <row r="158" spans="1:16" ht="12.75" customHeight="1" thickTop="1" thickBot="1">
      <c r="A158" s="853"/>
      <c r="B158" s="427" t="s">
        <v>126</v>
      </c>
      <c r="C158" s="421" t="s">
        <v>127</v>
      </c>
      <c r="D158" s="445">
        <f>SUM(E158:I158)</f>
        <v>161170</v>
      </c>
      <c r="E158" s="356">
        <f>январь!E158+февраль!E158</f>
        <v>0</v>
      </c>
      <c r="F158" s="356">
        <f>январь!F158+февраль!F158</f>
        <v>28510</v>
      </c>
      <c r="G158" s="356">
        <f>январь!G158+февраль!G158</f>
        <v>13300</v>
      </c>
      <c r="H158" s="356">
        <f>январь!H158+февраль!H158</f>
        <v>50860</v>
      </c>
      <c r="I158" s="356">
        <f>январь!I158+февраль!I158</f>
        <v>68500</v>
      </c>
      <c r="J158" s="422">
        <f>SUM(K158:O158)</f>
        <v>154345.14299999998</v>
      </c>
      <c r="K158" s="428">
        <v>0</v>
      </c>
      <c r="L158" s="356">
        <f>январь!L158+февраль!L158</f>
        <v>28553.852400000003</v>
      </c>
      <c r="M158" s="356">
        <f>январь!M158+февраль!M158</f>
        <v>11312.364999999985</v>
      </c>
      <c r="N158" s="356">
        <f>январь!N158+февраль!N158</f>
        <v>46937.198600000003</v>
      </c>
      <c r="O158" s="356">
        <f>январь!O158+февраль!O158</f>
        <v>67541.726999999999</v>
      </c>
    </row>
    <row r="159" spans="1:16" ht="12.75" customHeight="1" thickTop="1" thickBot="1">
      <c r="A159" s="853"/>
      <c r="B159" s="427" t="s">
        <v>128</v>
      </c>
      <c r="C159" s="421" t="s">
        <v>129</v>
      </c>
      <c r="D159" s="345">
        <f t="shared" ref="D159:O159" si="26">IF(D44=0,0,D158/D44*100)</f>
        <v>20.860459999223409</v>
      </c>
      <c r="E159" s="345">
        <f t="shared" si="26"/>
        <v>0</v>
      </c>
      <c r="F159" s="345">
        <f t="shared" si="26"/>
        <v>5.0163634444170739</v>
      </c>
      <c r="G159" s="345">
        <f t="shared" si="26"/>
        <v>5.6245110270018817</v>
      </c>
      <c r="H159" s="345">
        <f t="shared" si="26"/>
        <v>8.8950295568225535</v>
      </c>
      <c r="I159" s="345">
        <f t="shared" si="26"/>
        <v>21.819455946996243</v>
      </c>
      <c r="J159" s="345">
        <f t="shared" si="26"/>
        <v>20.90065946411384</v>
      </c>
      <c r="K159" s="345">
        <f>IF(K44=0,0,K158/K44*100)</f>
        <v>0</v>
      </c>
      <c r="L159" s="345">
        <f t="shared" si="26"/>
        <v>4.9947086758134107</v>
      </c>
      <c r="M159" s="345">
        <f t="shared" si="26"/>
        <v>5.3485254229026022</v>
      </c>
      <c r="N159" s="345">
        <f t="shared" si="26"/>
        <v>8.5576114479740628</v>
      </c>
      <c r="O159" s="345">
        <f t="shared" si="26"/>
        <v>20.658835885461187</v>
      </c>
      <c r="P159" s="25"/>
    </row>
    <row r="160" spans="1:16" ht="12.75" customHeight="1" thickTop="1" thickBot="1">
      <c r="A160" s="853"/>
      <c r="B160" s="429" t="s">
        <v>130</v>
      </c>
      <c r="C160" s="421" t="s">
        <v>131</v>
      </c>
      <c r="D160" s="446">
        <f t="shared" ref="D160:J160" si="27">IF(D45=0,0,D158/D45*100)</f>
        <v>20.860459999223409</v>
      </c>
      <c r="E160" s="446">
        <f t="shared" si="27"/>
        <v>0</v>
      </c>
      <c r="F160" s="446">
        <f t="shared" si="27"/>
        <v>5.0163634444170739</v>
      </c>
      <c r="G160" s="446">
        <f t="shared" si="27"/>
        <v>5.8417911195111873</v>
      </c>
      <c r="H160" s="446">
        <f t="shared" si="27"/>
        <v>9.7631467508838856</v>
      </c>
      <c r="I160" s="446">
        <f t="shared" si="27"/>
        <v>22.044862098928331</v>
      </c>
      <c r="J160" s="446">
        <f t="shared" si="27"/>
        <v>20.90065946411384</v>
      </c>
      <c r="K160" s="446">
        <f>IF(K45=0,0,K158/K45*100)</f>
        <v>0</v>
      </c>
      <c r="L160" s="446">
        <f t="shared" ref="L160:O160" si="28">IF(L45=0,0,L158/L45*100)</f>
        <v>4.9947086758134116</v>
      </c>
      <c r="M160" s="446">
        <f t="shared" si="28"/>
        <v>5.5357226562462651</v>
      </c>
      <c r="N160" s="446">
        <f t="shared" si="28"/>
        <v>9.3834946998980762</v>
      </c>
      <c r="O160" s="446">
        <f t="shared" si="28"/>
        <v>20.853462348230259</v>
      </c>
      <c r="P160" s="25"/>
    </row>
    <row r="161" spans="1:15" ht="12.75" customHeight="1" thickTop="1" thickBot="1">
      <c r="A161" s="853"/>
      <c r="B161" s="430" t="s">
        <v>132</v>
      </c>
      <c r="C161" s="412" t="s">
        <v>133</v>
      </c>
      <c r="D161" s="443">
        <f>SUM(E161:I161)</f>
        <v>5650</v>
      </c>
      <c r="E161" s="251">
        <f>E151-E158</f>
        <v>0</v>
      </c>
      <c r="F161" s="251">
        <f>F151-F158</f>
        <v>0</v>
      </c>
      <c r="G161" s="251">
        <f>G151-G158</f>
        <v>0</v>
      </c>
      <c r="H161" s="251">
        <f>H151-H158</f>
        <v>0</v>
      </c>
      <c r="I161" s="251">
        <f>I151-I158</f>
        <v>5650</v>
      </c>
      <c r="J161" s="607">
        <f>SUM(K161:O161)</f>
        <v>20927.231999999989</v>
      </c>
      <c r="K161" s="424">
        <f>K151-K158</f>
        <v>0</v>
      </c>
      <c r="L161" s="424">
        <f>L151-L158</f>
        <v>0</v>
      </c>
      <c r="M161" s="424">
        <f>M151-M158</f>
        <v>-1.4551915228366852E-11</v>
      </c>
      <c r="N161" s="424">
        <f>N151-N158</f>
        <v>0</v>
      </c>
      <c r="O161" s="424">
        <f>O151-O158</f>
        <v>20927.232000000004</v>
      </c>
    </row>
    <row r="162" spans="1:15" ht="12.75" customHeight="1" thickTop="1" thickBot="1">
      <c r="A162" s="853"/>
      <c r="B162" s="430" t="s">
        <v>134</v>
      </c>
      <c r="C162" s="412" t="s">
        <v>135</v>
      </c>
      <c r="D162" s="347">
        <f>IF(D44=0,0,D161/D44*100)</f>
        <v>0.73128745421363939</v>
      </c>
      <c r="E162" s="347">
        <f t="shared" ref="E162:I162" si="29">IF(E44=0,0,E161/E44*100)</f>
        <v>0</v>
      </c>
      <c r="F162" s="347">
        <f t="shared" si="29"/>
        <v>0</v>
      </c>
      <c r="G162" s="347">
        <f t="shared" si="29"/>
        <v>0</v>
      </c>
      <c r="H162" s="347">
        <f t="shared" si="29"/>
        <v>0</v>
      </c>
      <c r="I162" s="347">
        <f t="shared" si="29"/>
        <v>1.7997069503726826</v>
      </c>
      <c r="J162" s="347">
        <f>IF(J44=0,0,J161/J44*100)</f>
        <v>2.833862738126498</v>
      </c>
      <c r="K162" s="347">
        <f>IF(K44=0,0,K161/K44*100)</f>
        <v>0</v>
      </c>
      <c r="L162" s="347">
        <f t="shared" ref="L162:O162" si="30">IF(L44=0,0,L161/L44*100)</f>
        <v>0</v>
      </c>
      <c r="M162" s="347">
        <f t="shared" si="30"/>
        <v>-6.8801960112535031E-15</v>
      </c>
      <c r="N162" s="347">
        <f t="shared" si="30"/>
        <v>0</v>
      </c>
      <c r="O162" s="347">
        <f t="shared" si="30"/>
        <v>6.4009653088226743</v>
      </c>
    </row>
    <row r="163" spans="1:15" ht="12.75" customHeight="1" thickTop="1" thickBot="1">
      <c r="A163" s="853"/>
      <c r="B163" s="430" t="s">
        <v>136</v>
      </c>
      <c r="C163" s="412" t="s">
        <v>137</v>
      </c>
      <c r="D163" s="347">
        <f>IF(D45=0,0,D161/D45*100)</f>
        <v>0.73128745421363939</v>
      </c>
      <c r="E163" s="347">
        <f t="shared" ref="E163:O163" si="31">IF(E45=0,0,E161/E45*100)</f>
        <v>0</v>
      </c>
      <c r="F163" s="347">
        <f t="shared" si="31"/>
        <v>0</v>
      </c>
      <c r="G163" s="347">
        <f t="shared" si="31"/>
        <v>0</v>
      </c>
      <c r="H163" s="347">
        <f t="shared" si="31"/>
        <v>0</v>
      </c>
      <c r="I163" s="347">
        <f t="shared" si="31"/>
        <v>1.8182988446561323</v>
      </c>
      <c r="J163" s="347">
        <f t="shared" si="31"/>
        <v>2.833862738126498</v>
      </c>
      <c r="K163" s="347">
        <f t="shared" si="31"/>
        <v>0</v>
      </c>
      <c r="L163" s="347">
        <f t="shared" si="31"/>
        <v>0</v>
      </c>
      <c r="M163" s="347">
        <f t="shared" si="31"/>
        <v>-7.1210013840117002E-15</v>
      </c>
      <c r="N163" s="347">
        <f t="shared" si="31"/>
        <v>0</v>
      </c>
      <c r="O163" s="347">
        <f t="shared" si="31"/>
        <v>6.4612686697318162</v>
      </c>
    </row>
    <row r="164" spans="1:15">
      <c r="A164" s="173" t="s">
        <v>210</v>
      </c>
      <c r="D164" s="95"/>
      <c r="E164" s="95"/>
      <c r="F164" s="348"/>
      <c r="G164" s="348"/>
      <c r="H164" s="348"/>
      <c r="I164" s="348"/>
      <c r="J164" s="388"/>
      <c r="K164" s="389"/>
      <c r="L164" s="388"/>
      <c r="M164" s="388"/>
      <c r="N164" s="388"/>
      <c r="O164" s="388"/>
    </row>
    <row r="165" spans="1:15" ht="12.75" thickBot="1">
      <c r="D165" s="95"/>
      <c r="E165" s="93"/>
      <c r="F165" s="342"/>
      <c r="G165" s="342"/>
      <c r="H165" s="342"/>
      <c r="I165" s="342"/>
      <c r="J165" s="174"/>
      <c r="K165" s="25"/>
      <c r="L165" s="25"/>
      <c r="M165" s="25"/>
      <c r="N165" s="25"/>
      <c r="O165" s="25"/>
    </row>
    <row r="166" spans="1:15" ht="12.75" customHeight="1" thickBot="1">
      <c r="B166" s="854" t="s">
        <v>138</v>
      </c>
      <c r="C166" s="855" t="s">
        <v>139</v>
      </c>
      <c r="D166" s="842" t="s">
        <v>140</v>
      </c>
      <c r="E166" s="843"/>
      <c r="F166" s="843"/>
      <c r="G166" s="843"/>
      <c r="H166" s="843"/>
      <c r="I166" s="844"/>
      <c r="J166" s="851" t="s">
        <v>140</v>
      </c>
      <c r="K166" s="851"/>
      <c r="L166" s="851"/>
      <c r="M166" s="851"/>
      <c r="N166" s="851"/>
      <c r="O166" s="851"/>
    </row>
    <row r="167" spans="1:15">
      <c r="B167" s="854"/>
      <c r="C167" s="855"/>
      <c r="D167" s="96" t="s">
        <v>141</v>
      </c>
      <c r="E167" s="97"/>
      <c r="F167" s="97" t="s">
        <v>5</v>
      </c>
      <c r="G167" s="98" t="s">
        <v>74</v>
      </c>
      <c r="H167" s="98" t="s">
        <v>76</v>
      </c>
      <c r="I167" s="99" t="s">
        <v>8</v>
      </c>
      <c r="J167" s="28" t="s">
        <v>141</v>
      </c>
      <c r="K167" s="29"/>
      <c r="L167" s="29" t="s">
        <v>5</v>
      </c>
      <c r="M167" s="30" t="s">
        <v>74</v>
      </c>
      <c r="N167" s="30" t="s">
        <v>76</v>
      </c>
      <c r="O167" s="31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>
        <f>D174+D175+D176</f>
        <v>772610</v>
      </c>
      <c r="E169" s="35"/>
      <c r="F169" s="36">
        <f>F170+F174+F175+F176</f>
        <v>568340</v>
      </c>
      <c r="G169" s="36">
        <f>G170+G174+G175+G176</f>
        <v>228485</v>
      </c>
      <c r="H169" s="36">
        <f>H170+H174+H175+H176</f>
        <v>524770</v>
      </c>
      <c r="I169" s="37">
        <f>I170+I174+I175+I176</f>
        <v>313940</v>
      </c>
      <c r="J169" s="34">
        <f>J174+J175+J176</f>
        <v>738470.20600000001</v>
      </c>
      <c r="K169" s="35"/>
      <c r="L169" s="36">
        <f>L170+L174+L175+L176</f>
        <v>571682.03899999999</v>
      </c>
      <c r="M169" s="36">
        <f>M170+M174+M175+M176</f>
        <v>204352.09099999999</v>
      </c>
      <c r="N169" s="36">
        <f>N170+N174+N175+N176</f>
        <v>501423.30160000012</v>
      </c>
      <c r="O169" s="37">
        <f>O170+O174+O175+O176</f>
        <v>326938.68800000002</v>
      </c>
    </row>
    <row r="170" spans="1:15" ht="12.75">
      <c r="B170" s="38" t="s">
        <v>12</v>
      </c>
      <c r="C170" s="39" t="s">
        <v>143</v>
      </c>
      <c r="D170" s="675">
        <f t="shared" ref="D170:D177" si="32">SUM(F170:I170)</f>
        <v>862925</v>
      </c>
      <c r="E170" s="676"/>
      <c r="F170" s="676"/>
      <c r="G170" s="677">
        <f>SUM(G171:G173)</f>
        <v>109365</v>
      </c>
      <c r="H170" s="677">
        <f>SUM(H171:H173)</f>
        <v>439530</v>
      </c>
      <c r="I170" s="678">
        <f>SUM(I171:I173)</f>
        <v>314030</v>
      </c>
      <c r="J170" s="675">
        <f t="shared" ref="J170:J177" si="33">SUM(L170:O170)</f>
        <v>865925.91360000009</v>
      </c>
      <c r="K170" s="676"/>
      <c r="L170" s="676"/>
      <c r="M170" s="677">
        <f>SUM(M171:M173)</f>
        <v>113562.833</v>
      </c>
      <c r="N170" s="677">
        <f>SUM(N171:N173)</f>
        <v>425349.4776000001</v>
      </c>
      <c r="O170" s="678">
        <f>SUM(O171:O173)</f>
        <v>327013.603</v>
      </c>
    </row>
    <row r="171" spans="1:15" ht="12.75">
      <c r="B171" s="40" t="s">
        <v>144</v>
      </c>
      <c r="C171" s="41" t="s">
        <v>145</v>
      </c>
      <c r="D171" s="42">
        <f t="shared" si="32"/>
        <v>342680</v>
      </c>
      <c r="E171" s="43"/>
      <c r="F171" s="44"/>
      <c r="G171" s="45">
        <f>G31-G49-G61-G73-G85-G97-G78-G109-G121-G54-G66-G90-G102-G114-G126</f>
        <v>109365</v>
      </c>
      <c r="H171" s="45">
        <f>H31-H49-H61-H73-H85-H97-H78-H54-H109-H66-H90-H102-H114-H121-H126</f>
        <v>233315</v>
      </c>
      <c r="I171" s="46"/>
      <c r="J171" s="42">
        <f t="shared" si="33"/>
        <v>351035.97160000005</v>
      </c>
      <c r="K171" s="43"/>
      <c r="L171" s="44"/>
      <c r="M171" s="45">
        <f>M31-M49-M61-M73-M85-M97-M78-M109-M121-M54-M66-M90-M102-M114-M126</f>
        <v>113562.833</v>
      </c>
      <c r="N171" s="45">
        <f>N31-N49-N61-N73-N85-N97-N78-N54-N109-N66-N90-N102-N114-N121-N126</f>
        <v>237473.13860000003</v>
      </c>
      <c r="O171" s="46"/>
    </row>
    <row r="172" spans="1:15" ht="12.75">
      <c r="B172" s="47" t="s">
        <v>146</v>
      </c>
      <c r="C172" s="48" t="s">
        <v>6</v>
      </c>
      <c r="D172" s="42">
        <f t="shared" si="32"/>
        <v>206215</v>
      </c>
      <c r="E172" s="43"/>
      <c r="F172" s="44"/>
      <c r="G172" s="49"/>
      <c r="H172" s="45">
        <f>H32-H50-H62-H74-H86-H98-H110-H55-H67-H79-H91-H103-H115-H122-H127</f>
        <v>206215</v>
      </c>
      <c r="I172" s="50">
        <f>I32-I50-I55-I62-I67-I74-I79-I86-I91-I98-I103-I110-I115-I122-I127</f>
        <v>0</v>
      </c>
      <c r="J172" s="42">
        <f t="shared" si="33"/>
        <v>187876.33900000004</v>
      </c>
      <c r="K172" s="43"/>
      <c r="L172" s="44"/>
      <c r="M172" s="49"/>
      <c r="N172" s="45">
        <f>N32-N50-N62-N74-N86-N98-N110-N55-N67-N79-N91-N103-N115-N122-N127</f>
        <v>187876.33900000004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>
        <f t="shared" si="32"/>
        <v>314030</v>
      </c>
      <c r="E173" s="54"/>
      <c r="F173" s="55"/>
      <c r="G173" s="56"/>
      <c r="H173" s="56"/>
      <c r="I173" s="57">
        <f>I33-I51-I87-I75-I99-I111-I56-I63-I68-I80-I92-I104-I116-I123-I128</f>
        <v>314030</v>
      </c>
      <c r="J173" s="53">
        <f t="shared" si="33"/>
        <v>327013.603</v>
      </c>
      <c r="K173" s="54"/>
      <c r="L173" s="55"/>
      <c r="M173" s="56"/>
      <c r="N173" s="56"/>
      <c r="O173" s="57">
        <f>O33-O51-O87-O75-O99-O111-O56-O63-O68-O80-O92-O104-O116-O123-O128</f>
        <v>327013.603</v>
      </c>
    </row>
    <row r="174" spans="1:15" ht="12.75">
      <c r="B174" s="58" t="s">
        <v>14</v>
      </c>
      <c r="C174" s="39" t="s">
        <v>148</v>
      </c>
      <c r="D174" s="110">
        <f t="shared" si="32"/>
        <v>464980</v>
      </c>
      <c r="E174" s="111"/>
      <c r="F174" s="111">
        <f>F28+E28</f>
        <v>381420</v>
      </c>
      <c r="G174" s="112">
        <f>G28</f>
        <v>76720</v>
      </c>
      <c r="H174" s="112">
        <f>H28</f>
        <v>6840</v>
      </c>
      <c r="I174" s="113">
        <f>I28</f>
        <v>0</v>
      </c>
      <c r="J174" s="110">
        <f t="shared" si="33"/>
        <v>532385.005</v>
      </c>
      <c r="K174" s="111"/>
      <c r="L174" s="111">
        <f>L28+K28</f>
        <v>466566.31</v>
      </c>
      <c r="M174" s="112">
        <f>M28</f>
        <v>60045.758999999991</v>
      </c>
      <c r="N174" s="112">
        <f>N28</f>
        <v>5772.9359999999997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>
        <f t="shared" si="32"/>
        <v>302730</v>
      </c>
      <c r="E175" s="124"/>
      <c r="F175" s="125">
        <f>F23+F24+F25+E23+E24+E25</f>
        <v>186920</v>
      </c>
      <c r="G175" s="125">
        <f>G23+G24+G25</f>
        <v>37500</v>
      </c>
      <c r="H175" s="125">
        <f>H23+H24+H25</f>
        <v>78400</v>
      </c>
      <c r="I175" s="126">
        <f>I23+I24+I25</f>
        <v>-90</v>
      </c>
      <c r="J175" s="123">
        <f t="shared" si="33"/>
        <v>205661.40099999998</v>
      </c>
      <c r="K175" s="124"/>
      <c r="L175" s="125">
        <f>L23+L24+L25+K23+K24+K25</f>
        <v>105115.72899999998</v>
      </c>
      <c r="M175" s="125">
        <f>M23+M24+M25</f>
        <v>30319.698999999997</v>
      </c>
      <c r="N175" s="125">
        <f>N23+N24+N25</f>
        <v>70300.888000000006</v>
      </c>
      <c r="O175" s="126">
        <f>O23+O24+O25</f>
        <v>-74.915000000000006</v>
      </c>
    </row>
    <row r="176" spans="1:15" ht="13.5" thickBot="1">
      <c r="B176" s="61" t="s">
        <v>20</v>
      </c>
      <c r="C176" s="62" t="s">
        <v>150</v>
      </c>
      <c r="D176" s="129">
        <f t="shared" si="32"/>
        <v>4900</v>
      </c>
      <c r="E176" s="130"/>
      <c r="F176" s="131">
        <f>F29+E29</f>
        <v>0</v>
      </c>
      <c r="G176" s="131">
        <f>G29</f>
        <v>4900</v>
      </c>
      <c r="H176" s="131">
        <f>H29</f>
        <v>0</v>
      </c>
      <c r="I176" s="132">
        <f>I29</f>
        <v>0</v>
      </c>
      <c r="J176" s="129">
        <f t="shared" si="33"/>
        <v>423.79999999999973</v>
      </c>
      <c r="K176" s="130"/>
      <c r="L176" s="131">
        <f>L29+K29</f>
        <v>0</v>
      </c>
      <c r="M176" s="131">
        <f>M29</f>
        <v>423.79999999999973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32"/>
        <v>166820</v>
      </c>
      <c r="E177" s="136"/>
      <c r="F177" s="136">
        <f>F169-F180-G171-H171</f>
        <v>28510</v>
      </c>
      <c r="G177" s="136">
        <f>G169-G180-H172-I172</f>
        <v>13300</v>
      </c>
      <c r="H177" s="136">
        <f>H169-H180-I173</f>
        <v>50860</v>
      </c>
      <c r="I177" s="137">
        <f>I169-I180</f>
        <v>74150</v>
      </c>
      <c r="J177" s="135">
        <f t="shared" si="33"/>
        <v>175272.37500000012</v>
      </c>
      <c r="K177" s="136"/>
      <c r="L177" s="136">
        <f>L169-L180-M171-N171</f>
        <v>28553.852400000003</v>
      </c>
      <c r="M177" s="136">
        <f>M169-M180-N172-O172</f>
        <v>11312.364999999962</v>
      </c>
      <c r="N177" s="136">
        <f>N169-N180-O173</f>
        <v>46937.19860000012</v>
      </c>
      <c r="O177" s="137">
        <f>O169-O180</f>
        <v>88468.959000000032</v>
      </c>
    </row>
    <row r="178" spans="1:15" ht="13.5" thickBot="1">
      <c r="B178" s="64"/>
      <c r="C178" s="65" t="s">
        <v>152</v>
      </c>
      <c r="D178" s="441">
        <f>IF(D169=0,0,D177/D169*100)</f>
        <v>21.591747453437051</v>
      </c>
      <c r="E178" s="140"/>
      <c r="F178" s="441">
        <f t="shared" ref="F178:I178" si="34">IF(F169=0,0,F177/F169*100)</f>
        <v>5.0163634444170739</v>
      </c>
      <c r="G178" s="441">
        <f t="shared" si="34"/>
        <v>5.8209510471146908</v>
      </c>
      <c r="H178" s="441">
        <f t="shared" si="34"/>
        <v>9.6918650075271078</v>
      </c>
      <c r="I178" s="441">
        <f t="shared" si="34"/>
        <v>23.619162897368923</v>
      </c>
      <c r="J178" s="441">
        <f>IF(J169=0,0,J177/J169*100)</f>
        <v>23.73452220224036</v>
      </c>
      <c r="K178" s="140"/>
      <c r="L178" s="441">
        <f t="shared" ref="L178:O178" si="35">IF(L169=0,0,L177/L169*100)</f>
        <v>4.9947086758134107</v>
      </c>
      <c r="M178" s="441">
        <f t="shared" si="35"/>
        <v>5.5357226562462545</v>
      </c>
      <c r="N178" s="441">
        <f t="shared" si="35"/>
        <v>9.360793255963058</v>
      </c>
      <c r="O178" s="441">
        <f t="shared" si="35"/>
        <v>27.059801194283871</v>
      </c>
    </row>
    <row r="179" spans="1:15" ht="26.25" thickBot="1">
      <c r="B179" s="66" t="s">
        <v>38</v>
      </c>
      <c r="C179" s="67" t="s">
        <v>153</v>
      </c>
      <c r="D179" s="143">
        <f t="shared" ref="D179:D184" si="36">SUM(F179:I179)</f>
        <v>0</v>
      </c>
      <c r="E179" s="144"/>
      <c r="F179" s="144"/>
      <c r="G179" s="145"/>
      <c r="H179" s="145"/>
      <c r="I179" s="146"/>
      <c r="J179" s="143">
        <f t="shared" ref="J179:J184" si="37">SUM(L179:O179)</f>
        <v>0</v>
      </c>
      <c r="K179" s="144"/>
      <c r="L179" s="144"/>
      <c r="M179" s="145"/>
      <c r="N179" s="145"/>
      <c r="O179" s="146"/>
    </row>
    <row r="180" spans="1:15" s="83" customFormat="1" ht="13.5" thickBot="1">
      <c r="B180" s="147" t="s">
        <v>52</v>
      </c>
      <c r="C180" s="148" t="s">
        <v>154</v>
      </c>
      <c r="D180" s="143">
        <f t="shared" si="36"/>
        <v>605790</v>
      </c>
      <c r="E180" s="144"/>
      <c r="F180" s="682">
        <f>F143+E143</f>
        <v>197150</v>
      </c>
      <c r="G180" s="682">
        <f>G143+G194</f>
        <v>8970</v>
      </c>
      <c r="H180" s="682">
        <f>H143+H194</f>
        <v>159880</v>
      </c>
      <c r="I180" s="683">
        <f>I143+I194</f>
        <v>239790</v>
      </c>
      <c r="J180" s="143">
        <f t="shared" si="37"/>
        <v>563197.83100000001</v>
      </c>
      <c r="K180" s="144"/>
      <c r="L180" s="682">
        <f>L143+K143</f>
        <v>192092.215</v>
      </c>
      <c r="M180" s="682">
        <f>M143+M194</f>
        <v>5163.3869999999997</v>
      </c>
      <c r="N180" s="682">
        <f>N143+N194</f>
        <v>127472.49999999999</v>
      </c>
      <c r="O180" s="683">
        <f>O143+O194</f>
        <v>238469.72899999999</v>
      </c>
    </row>
    <row r="181" spans="1:15" ht="12.75">
      <c r="B181" s="70" t="s">
        <v>54</v>
      </c>
      <c r="C181" s="71" t="s">
        <v>155</v>
      </c>
      <c r="D181" s="151">
        <f t="shared" si="36"/>
        <v>0</v>
      </c>
      <c r="E181" s="152"/>
      <c r="F181" s="152"/>
      <c r="G181" s="153"/>
      <c r="H181" s="153"/>
      <c r="I181" s="154"/>
      <c r="J181" s="151">
        <f t="shared" si="37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6"/>
        <v>0</v>
      </c>
      <c r="E182" s="158"/>
      <c r="F182" s="159"/>
      <c r="G182" s="159"/>
      <c r="H182" s="159"/>
      <c r="I182" s="160"/>
      <c r="J182" s="157">
        <f t="shared" si="37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6"/>
        <v>0</v>
      </c>
      <c r="E183" s="164"/>
      <c r="F183" s="164"/>
      <c r="G183" s="165"/>
      <c r="H183" s="165"/>
      <c r="I183" s="166"/>
      <c r="J183" s="163">
        <f t="shared" si="37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6"/>
        <v>0</v>
      </c>
      <c r="E184" s="111"/>
      <c r="F184" s="111"/>
      <c r="G184" s="112"/>
      <c r="H184" s="112"/>
      <c r="I184" s="113"/>
      <c r="J184" s="110">
        <f t="shared" si="37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8" spans="1:15" ht="12.75" customHeight="1">
      <c r="A188" s="832"/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 s="508" customFormat="1">
      <c r="A194" s="483"/>
      <c r="B194" s="484"/>
      <c r="C194" s="483" t="s">
        <v>193</v>
      </c>
      <c r="D194" s="483"/>
      <c r="E194" s="483"/>
      <c r="F194" s="483"/>
      <c r="G194" s="483">
        <f>январь!G194+февраль!G194</f>
        <v>815.1</v>
      </c>
      <c r="H194" s="483">
        <f>январь!H194+февраль!H194</f>
        <v>3831.4</v>
      </c>
      <c r="I194" s="483">
        <f>январь!I194+февраль!I194</f>
        <v>3210</v>
      </c>
      <c r="J194" s="483"/>
      <c r="K194" s="483"/>
      <c r="L194" s="483"/>
      <c r="M194" s="483">
        <f>январь!M194+февраль!M194</f>
        <v>0</v>
      </c>
      <c r="N194" s="483">
        <f>январь!N194+февраль!N194</f>
        <v>1213.0909999999999</v>
      </c>
      <c r="O194" s="483">
        <f>январь!O194+февраль!O194</f>
        <v>3051.3359999999998</v>
      </c>
    </row>
    <row r="195" spans="1:15" s="83" customFormat="1">
      <c r="A195" s="506"/>
      <c r="B195" s="507"/>
      <c r="C195" s="506" t="s">
        <v>196</v>
      </c>
      <c r="D195" s="506"/>
      <c r="E195" s="506"/>
      <c r="F195" s="483">
        <f>январь!F195+февраль!F195</f>
        <v>27195.221764819646</v>
      </c>
      <c r="G195" s="506"/>
      <c r="H195" s="506"/>
      <c r="I195" s="506"/>
      <c r="J195" s="506"/>
      <c r="K195" s="506"/>
      <c r="L195" s="510">
        <f>январь!L195+февраль!L195</f>
        <v>24228.185249999995</v>
      </c>
      <c r="M195" s="506"/>
      <c r="N195" s="506"/>
      <c r="O195" s="506"/>
    </row>
    <row r="206" spans="1:15" ht="12.75">
      <c r="A206"/>
    </row>
    <row r="207" spans="1:15" ht="12.75">
      <c r="A207"/>
    </row>
  </sheetData>
  <mergeCells count="25">
    <mergeCell ref="A188:O188"/>
    <mergeCell ref="D166:I166"/>
    <mergeCell ref="J166:O166"/>
    <mergeCell ref="A46:A150"/>
    <mergeCell ref="A151:A163"/>
    <mergeCell ref="B166:B167"/>
    <mergeCell ref="C166:C167"/>
    <mergeCell ref="A6:A29"/>
    <mergeCell ref="A30:A43"/>
    <mergeCell ref="I4:I5"/>
    <mergeCell ref="J4:J5"/>
    <mergeCell ref="K4:L4"/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</mergeCells>
  <phoneticPr fontId="0" type="noConversion"/>
  <pageMargins left="0.27559055118110237" right="0.27559055118110237" top="0.74803149606299213" bottom="0.55118110236220474" header="0.51181102362204722" footer="0.51181102362204722"/>
  <pageSetup paperSize="9" scale="67" firstPageNumber="0" orientation="landscape" horizontalDpi="300" verticalDpi="300" r:id="rId1"/>
  <headerFooter alignWithMargins="0"/>
  <rowBreaks count="2" manualBreakCount="2">
    <brk id="56" max="14" man="1"/>
    <brk id="16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01"/>
  <sheetViews>
    <sheetView view="pageBreakPreview" zoomScale="90" zoomScaleSheetLayoutView="90" workbookViewId="0">
      <pane xSplit="3" ySplit="5" topLeftCell="D134" activePane="bottomRight" state="frozen"/>
      <selection pane="topRight" activeCell="D1" sqref="D1"/>
      <selection pane="bottomLeft" activeCell="A63" sqref="A63"/>
      <selection pane="bottomRight" activeCell="L151" activeCellId="2" sqref="L44:O44 L46:O46 L151:O151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" style="1" customWidth="1"/>
    <col min="6" max="6" width="11.85546875" style="1" customWidth="1"/>
    <col min="7" max="7" width="11.140625" style="1" customWidth="1"/>
    <col min="8" max="8" width="10.5703125" style="1" customWidth="1"/>
    <col min="9" max="9" width="11.85546875" style="1" customWidth="1"/>
    <col min="10" max="10" width="12.28515625" style="1" customWidth="1"/>
    <col min="11" max="11" width="11.140625" style="1" customWidth="1"/>
    <col min="12" max="12" width="11.28515625" style="1" customWidth="1"/>
    <col min="13" max="13" width="10.28515625" style="1" customWidth="1"/>
    <col min="14" max="14" width="12" style="1" customWidth="1"/>
    <col min="15" max="15" width="11.5703125" style="1" customWidth="1"/>
    <col min="16" max="16" width="16.140625" style="1" customWidth="1"/>
    <col min="17" max="17" width="10" style="1" customWidth="1"/>
    <col min="18" max="16384" width="9.140625" style="1"/>
  </cols>
  <sheetData>
    <row r="1" spans="1:15" ht="15.75">
      <c r="A1" s="817" t="s">
        <v>214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" customHeight="1" thickBot="1">
      <c r="A3" s="856"/>
      <c r="B3" s="857" t="s">
        <v>0</v>
      </c>
      <c r="C3" s="858" t="s">
        <v>1</v>
      </c>
      <c r="D3" s="824" t="s">
        <v>2</v>
      </c>
      <c r="E3" s="825"/>
      <c r="F3" s="825"/>
      <c r="G3" s="825"/>
      <c r="H3" s="825"/>
      <c r="I3" s="826"/>
      <c r="J3" s="827" t="s">
        <v>3</v>
      </c>
      <c r="K3" s="828"/>
      <c r="L3" s="828"/>
      <c r="M3" s="828"/>
      <c r="N3" s="828"/>
      <c r="O3" s="829"/>
    </row>
    <row r="4" spans="1:15" s="3" customFormat="1" ht="12.75" customHeight="1" thickTop="1" thickBot="1">
      <c r="A4" s="856"/>
      <c r="B4" s="857"/>
      <c r="C4" s="858"/>
      <c r="D4" s="830" t="s">
        <v>4</v>
      </c>
      <c r="E4" s="835" t="s">
        <v>5</v>
      </c>
      <c r="F4" s="835"/>
      <c r="G4" s="835" t="s">
        <v>6</v>
      </c>
      <c r="H4" s="835" t="s">
        <v>7</v>
      </c>
      <c r="I4" s="820" t="s">
        <v>8</v>
      </c>
      <c r="J4" s="831" t="s">
        <v>4</v>
      </c>
      <c r="K4" s="833" t="s">
        <v>5</v>
      </c>
      <c r="L4" s="834"/>
      <c r="M4" s="818" t="s">
        <v>6</v>
      </c>
      <c r="N4" s="818" t="s">
        <v>7</v>
      </c>
      <c r="O4" s="820" t="s">
        <v>8</v>
      </c>
    </row>
    <row r="5" spans="1:15" s="6" customFormat="1" ht="13.5" thickTop="1" thickBot="1">
      <c r="A5" s="856"/>
      <c r="B5" s="857"/>
      <c r="C5" s="858"/>
      <c r="D5" s="831"/>
      <c r="E5" s="86">
        <v>220</v>
      </c>
      <c r="F5" s="86">
        <v>110</v>
      </c>
      <c r="G5" s="818"/>
      <c r="H5" s="818"/>
      <c r="I5" s="846"/>
      <c r="J5" s="845"/>
      <c r="K5" s="87">
        <v>220</v>
      </c>
      <c r="L5" s="242">
        <v>110</v>
      </c>
      <c r="M5" s="819"/>
      <c r="N5" s="819"/>
      <c r="O5" s="821"/>
    </row>
    <row r="6" spans="1:15" ht="13.5" thickTop="1" thickBot="1">
      <c r="A6" s="852" t="s">
        <v>9</v>
      </c>
      <c r="B6" s="7" t="s">
        <v>10</v>
      </c>
      <c r="C6" s="7" t="s">
        <v>11</v>
      </c>
      <c r="D6" s="352">
        <f t="shared" ref="D6:I6" si="0">SUM(D7:D9,D12,D14)</f>
        <v>497970</v>
      </c>
      <c r="E6" s="353">
        <f t="shared" si="0"/>
        <v>0</v>
      </c>
      <c r="F6" s="353">
        <f t="shared" si="0"/>
        <v>400530</v>
      </c>
      <c r="G6" s="353">
        <f t="shared" si="0"/>
        <v>58120</v>
      </c>
      <c r="H6" s="353">
        <f t="shared" si="0"/>
        <v>39310</v>
      </c>
      <c r="I6" s="353">
        <f t="shared" si="0"/>
        <v>10</v>
      </c>
      <c r="J6" s="244">
        <f t="shared" ref="J6:O6" si="1">SUM(J7:J9,J12,J14)</f>
        <v>447913.86499999999</v>
      </c>
      <c r="K6" s="245">
        <f t="shared" si="1"/>
        <v>0</v>
      </c>
      <c r="L6" s="245">
        <f t="shared" si="1"/>
        <v>368021.41099999996</v>
      </c>
      <c r="M6" s="245">
        <f t="shared" si="1"/>
        <v>44377.998999999996</v>
      </c>
      <c r="N6" s="245">
        <f t="shared" si="1"/>
        <v>35507.890999999996</v>
      </c>
      <c r="O6" s="245">
        <f t="shared" si="1"/>
        <v>6.5640000000000001</v>
      </c>
    </row>
    <row r="7" spans="1:15" ht="13.5" thickTop="1" thickBot="1">
      <c r="A7" s="852"/>
      <c r="B7" s="406" t="s">
        <v>12</v>
      </c>
      <c r="C7" s="486" t="s">
        <v>13</v>
      </c>
      <c r="D7" s="354">
        <f>SUM(E7:I7)</f>
        <v>0</v>
      </c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247">
        <f>SUM(K7:O7)</f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</row>
    <row r="8" spans="1:15" ht="13.5" thickTop="1" thickBot="1">
      <c r="A8" s="852"/>
      <c r="B8" s="406" t="s">
        <v>14</v>
      </c>
      <c r="C8" s="486" t="s">
        <v>15</v>
      </c>
      <c r="D8" s="354">
        <f>SUM(E8:I8)</f>
        <v>251810</v>
      </c>
      <c r="E8" s="356"/>
      <c r="F8" s="356">
        <v>198420</v>
      </c>
      <c r="G8" s="356">
        <v>17150</v>
      </c>
      <c r="H8" s="356">
        <v>36230</v>
      </c>
      <c r="I8" s="356">
        <v>10</v>
      </c>
      <c r="J8" s="247">
        <f>SUM(K8:O8)</f>
        <v>192906.16</v>
      </c>
      <c r="K8" s="333">
        <v>0</v>
      </c>
      <c r="L8" s="333">
        <v>145620.508</v>
      </c>
      <c r="M8" s="333">
        <v>14500.962</v>
      </c>
      <c r="N8" s="333">
        <v>32778.125999999997</v>
      </c>
      <c r="O8" s="333">
        <v>6.5640000000000001</v>
      </c>
    </row>
    <row r="9" spans="1:15" ht="13.5" thickTop="1" thickBot="1">
      <c r="A9" s="852"/>
      <c r="B9" s="406" t="s">
        <v>16</v>
      </c>
      <c r="C9" s="486" t="s">
        <v>17</v>
      </c>
      <c r="D9" s="354">
        <f t="shared" ref="D9:I9" si="2">SUM(D10:D11)</f>
        <v>16150</v>
      </c>
      <c r="E9" s="355">
        <f t="shared" si="2"/>
        <v>0</v>
      </c>
      <c r="F9" s="355">
        <f t="shared" si="2"/>
        <v>16150</v>
      </c>
      <c r="G9" s="355">
        <f t="shared" si="2"/>
        <v>0</v>
      </c>
      <c r="H9" s="355">
        <f t="shared" si="2"/>
        <v>0</v>
      </c>
      <c r="I9" s="355">
        <f t="shared" si="2"/>
        <v>0</v>
      </c>
      <c r="J9" s="247">
        <f t="shared" ref="J9:O9" si="3">SUM(J10:J11)</f>
        <v>15449.831999999999</v>
      </c>
      <c r="K9" s="248">
        <f t="shared" si="3"/>
        <v>0</v>
      </c>
      <c r="L9" s="248">
        <f t="shared" si="3"/>
        <v>15449.831999999999</v>
      </c>
      <c r="M9" s="248">
        <f t="shared" si="3"/>
        <v>0</v>
      </c>
      <c r="N9" s="248">
        <f t="shared" si="3"/>
        <v>0</v>
      </c>
      <c r="O9" s="248">
        <f t="shared" si="3"/>
        <v>0</v>
      </c>
    </row>
    <row r="10" spans="1:15" ht="13.5" thickTop="1" thickBot="1">
      <c r="A10" s="852"/>
      <c r="B10" s="412" t="s">
        <v>18</v>
      </c>
      <c r="C10" s="487" t="s">
        <v>192</v>
      </c>
      <c r="D10" s="357">
        <f>SUM(F10:I10)</f>
        <v>15210</v>
      </c>
      <c r="E10" s="358"/>
      <c r="F10" s="360">
        <v>15210</v>
      </c>
      <c r="G10" s="358"/>
      <c r="H10" s="358"/>
      <c r="I10" s="358"/>
      <c r="J10" s="251">
        <f>SUM(L10:O10)</f>
        <v>13565.861999999999</v>
      </c>
      <c r="K10" s="252"/>
      <c r="L10" s="289">
        <v>13565.861999999999</v>
      </c>
      <c r="M10" s="252"/>
      <c r="N10" s="252"/>
      <c r="O10" s="252"/>
    </row>
    <row r="11" spans="1:15" ht="13.5" thickTop="1" thickBot="1">
      <c r="A11" s="852"/>
      <c r="B11" s="412" t="s">
        <v>19</v>
      </c>
      <c r="C11" s="487" t="s">
        <v>191</v>
      </c>
      <c r="D11" s="357">
        <f>SUM(F11:I11)</f>
        <v>940</v>
      </c>
      <c r="E11" s="358"/>
      <c r="F11" s="360">
        <v>940</v>
      </c>
      <c r="G11" s="358"/>
      <c r="H11" s="358"/>
      <c r="I11" s="358"/>
      <c r="J11" s="251">
        <f>SUM(L11:O11)</f>
        <v>1883.97</v>
      </c>
      <c r="K11" s="252"/>
      <c r="L11" s="289">
        <v>1883.97</v>
      </c>
      <c r="M11" s="252"/>
      <c r="N11" s="252"/>
      <c r="O11" s="252"/>
    </row>
    <row r="12" spans="1:15" ht="13.5" thickTop="1" thickBot="1">
      <c r="A12" s="852"/>
      <c r="B12" s="406" t="s">
        <v>20</v>
      </c>
      <c r="C12" s="486" t="s">
        <v>21</v>
      </c>
      <c r="D12" s="354">
        <f>SUM(E12:I12)</f>
        <v>227210</v>
      </c>
      <c r="E12" s="355"/>
      <c r="F12" s="356">
        <v>185960</v>
      </c>
      <c r="G12" s="356">
        <v>38170</v>
      </c>
      <c r="H12" s="356">
        <v>3080</v>
      </c>
      <c r="I12" s="355"/>
      <c r="J12" s="247">
        <f>SUM(K12:O12)</f>
        <v>238205.87300000002</v>
      </c>
      <c r="K12" s="248"/>
      <c r="L12" s="333">
        <v>206951.071</v>
      </c>
      <c r="M12" s="333">
        <v>28525.037</v>
      </c>
      <c r="N12" s="333">
        <v>2729.7649999999999</v>
      </c>
      <c r="O12" s="248"/>
    </row>
    <row r="13" spans="1:15" ht="13.5" thickTop="1" thickBot="1">
      <c r="A13" s="852"/>
      <c r="B13" s="412" t="s">
        <v>22</v>
      </c>
      <c r="C13" s="487" t="s">
        <v>23</v>
      </c>
      <c r="D13" s="354">
        <f>SUM(E13:I13)</f>
        <v>0</v>
      </c>
      <c r="E13" s="355"/>
      <c r="F13" s="358"/>
      <c r="G13" s="358"/>
      <c r="H13" s="358"/>
      <c r="I13" s="358"/>
      <c r="J13" s="247">
        <f>SUM(K13:O13)</f>
        <v>0</v>
      </c>
      <c r="K13" s="248"/>
      <c r="L13" s="252"/>
      <c r="M13" s="252"/>
      <c r="N13" s="252"/>
      <c r="O13" s="252"/>
    </row>
    <row r="14" spans="1:15" ht="13.5" thickTop="1" thickBot="1">
      <c r="A14" s="852"/>
      <c r="B14" s="406" t="s">
        <v>24</v>
      </c>
      <c r="C14" s="486" t="s">
        <v>25</v>
      </c>
      <c r="D14" s="354">
        <f>SUM(E14:I14)</f>
        <v>2800</v>
      </c>
      <c r="E14" s="355"/>
      <c r="F14" s="355"/>
      <c r="G14" s="356">
        <v>2800</v>
      </c>
      <c r="H14" s="355"/>
      <c r="I14" s="355"/>
      <c r="J14" s="247">
        <f>SUM(K14:O14)</f>
        <v>1351.9999999999995</v>
      </c>
      <c r="K14" s="248"/>
      <c r="L14" s="248"/>
      <c r="M14" s="333">
        <v>1351.9999999999995</v>
      </c>
      <c r="N14" s="248"/>
      <c r="O14" s="248"/>
    </row>
    <row r="15" spans="1:15" ht="13.5" thickTop="1" thickBot="1">
      <c r="A15" s="852"/>
      <c r="B15" s="15" t="s">
        <v>26</v>
      </c>
      <c r="C15" s="488" t="s">
        <v>27</v>
      </c>
      <c r="D15" s="352">
        <f t="shared" ref="D15:I15" si="4">SUM(D16:D18,D21)</f>
        <v>132350</v>
      </c>
      <c r="E15" s="359">
        <f t="shared" si="4"/>
        <v>0</v>
      </c>
      <c r="F15" s="359">
        <f t="shared" si="4"/>
        <v>131990</v>
      </c>
      <c r="G15" s="359">
        <f t="shared" si="4"/>
        <v>290</v>
      </c>
      <c r="H15" s="359">
        <f t="shared" si="4"/>
        <v>20</v>
      </c>
      <c r="I15" s="359">
        <f t="shared" si="4"/>
        <v>50</v>
      </c>
      <c r="J15" s="244">
        <f t="shared" ref="J15:O15" si="5">SUM(J16:J18,J21)</f>
        <v>100301.36899999999</v>
      </c>
      <c r="K15" s="253">
        <f t="shared" si="5"/>
        <v>0</v>
      </c>
      <c r="L15" s="253">
        <f t="shared" si="5"/>
        <v>99966.654999999999</v>
      </c>
      <c r="M15" s="253">
        <f t="shared" si="5"/>
        <v>265.08199999999999</v>
      </c>
      <c r="N15" s="253">
        <f t="shared" si="5"/>
        <v>46.497</v>
      </c>
      <c r="O15" s="253">
        <f t="shared" si="5"/>
        <v>23.135000000000002</v>
      </c>
    </row>
    <row r="16" spans="1:15" ht="13.5" thickTop="1" thickBot="1">
      <c r="A16" s="852"/>
      <c r="B16" s="406" t="s">
        <v>28</v>
      </c>
      <c r="C16" s="486" t="s">
        <v>29</v>
      </c>
      <c r="D16" s="354">
        <f>SUM(E16:I16)</f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247">
        <f>SUM(K16:O16)</f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</row>
    <row r="17" spans="1:15" ht="13.5" thickTop="1" thickBot="1">
      <c r="A17" s="852"/>
      <c r="B17" s="406" t="s">
        <v>30</v>
      </c>
      <c r="C17" s="486" t="s">
        <v>31</v>
      </c>
      <c r="D17" s="354">
        <f>SUM(E17:I17)</f>
        <v>129410</v>
      </c>
      <c r="E17" s="356"/>
      <c r="F17" s="356">
        <v>129340</v>
      </c>
      <c r="G17" s="356">
        <v>0</v>
      </c>
      <c r="H17" s="356">
        <v>20</v>
      </c>
      <c r="I17" s="356">
        <v>50</v>
      </c>
      <c r="J17" s="247">
        <f>SUM(K17:O17)</f>
        <v>94960.614999999991</v>
      </c>
      <c r="K17" s="333">
        <v>0</v>
      </c>
      <c r="L17" s="333">
        <v>94890.982999999993</v>
      </c>
      <c r="M17" s="333">
        <v>0</v>
      </c>
      <c r="N17" s="333">
        <v>46.497</v>
      </c>
      <c r="O17" s="333">
        <v>23.135000000000002</v>
      </c>
    </row>
    <row r="18" spans="1:15" ht="13.5" thickTop="1" thickBot="1">
      <c r="A18" s="852"/>
      <c r="B18" s="406" t="s">
        <v>32</v>
      </c>
      <c r="C18" s="486" t="s">
        <v>33</v>
      </c>
      <c r="D18" s="354">
        <f t="shared" ref="D18:I18" si="6">SUM(D19:D20)</f>
        <v>2340</v>
      </c>
      <c r="E18" s="355">
        <f t="shared" si="6"/>
        <v>0</v>
      </c>
      <c r="F18" s="355">
        <f t="shared" si="6"/>
        <v>2120</v>
      </c>
      <c r="G18" s="355">
        <f t="shared" si="6"/>
        <v>220</v>
      </c>
      <c r="H18" s="355">
        <f t="shared" si="6"/>
        <v>0</v>
      </c>
      <c r="I18" s="355">
        <f t="shared" si="6"/>
        <v>0</v>
      </c>
      <c r="J18" s="247">
        <f t="shared" ref="J18:O18" si="7">SUM(J19:J20)</f>
        <v>3437.5639999999999</v>
      </c>
      <c r="K18" s="248">
        <f t="shared" si="7"/>
        <v>0</v>
      </c>
      <c r="L18" s="248">
        <f t="shared" si="7"/>
        <v>3294.1859999999997</v>
      </c>
      <c r="M18" s="248">
        <f t="shared" si="7"/>
        <v>143.37799999999999</v>
      </c>
      <c r="N18" s="248">
        <f t="shared" si="7"/>
        <v>0</v>
      </c>
      <c r="O18" s="248">
        <f t="shared" si="7"/>
        <v>0</v>
      </c>
    </row>
    <row r="19" spans="1:15" ht="13.5" thickTop="1" thickBot="1">
      <c r="A19" s="852"/>
      <c r="B19" s="412" t="s">
        <v>34</v>
      </c>
      <c r="C19" s="487" t="s">
        <v>192</v>
      </c>
      <c r="D19" s="357">
        <f t="shared" ref="D19:D29" si="8">SUM(E19:I19)</f>
        <v>40</v>
      </c>
      <c r="E19" s="358"/>
      <c r="F19" s="360">
        <v>40</v>
      </c>
      <c r="G19" s="358"/>
      <c r="H19" s="358"/>
      <c r="I19" s="358"/>
      <c r="J19" s="251">
        <f t="shared" ref="J19:J29" si="9">SUM(K19:O19)</f>
        <v>34.643999999999998</v>
      </c>
      <c r="K19" s="252"/>
      <c r="L19" s="289">
        <v>34.643999999999998</v>
      </c>
      <c r="M19" s="252"/>
      <c r="N19" s="252"/>
      <c r="O19" s="252"/>
    </row>
    <row r="20" spans="1:15" ht="13.5" thickTop="1" thickBot="1">
      <c r="A20" s="852"/>
      <c r="B20" s="489" t="s">
        <v>35</v>
      </c>
      <c r="C20" s="487" t="s">
        <v>191</v>
      </c>
      <c r="D20" s="357">
        <f t="shared" si="8"/>
        <v>2300</v>
      </c>
      <c r="E20" s="358"/>
      <c r="F20" s="360">
        <v>2080</v>
      </c>
      <c r="G20" s="360">
        <v>220</v>
      </c>
      <c r="H20" s="358"/>
      <c r="I20" s="358"/>
      <c r="J20" s="251">
        <f t="shared" si="9"/>
        <v>3402.92</v>
      </c>
      <c r="K20" s="252"/>
      <c r="L20" s="289">
        <v>3259.5419999999999</v>
      </c>
      <c r="M20" s="289">
        <v>143.37799999999999</v>
      </c>
      <c r="N20" s="252"/>
      <c r="O20" s="252"/>
    </row>
    <row r="21" spans="1:15" ht="13.5" thickTop="1" thickBot="1">
      <c r="A21" s="852"/>
      <c r="B21" s="406" t="s">
        <v>36</v>
      </c>
      <c r="C21" s="486" t="s">
        <v>37</v>
      </c>
      <c r="D21" s="354">
        <f t="shared" si="8"/>
        <v>600</v>
      </c>
      <c r="E21" s="355"/>
      <c r="F21" s="356">
        <v>530</v>
      </c>
      <c r="G21" s="356">
        <v>70</v>
      </c>
      <c r="H21" s="355">
        <v>0</v>
      </c>
      <c r="I21" s="355"/>
      <c r="J21" s="247">
        <f t="shared" si="9"/>
        <v>1903.19</v>
      </c>
      <c r="K21" s="248"/>
      <c r="L21" s="333">
        <v>1781.4860000000001</v>
      </c>
      <c r="M21" s="333">
        <v>121.70399999999999</v>
      </c>
      <c r="N21" s="248"/>
      <c r="O21" s="248"/>
    </row>
    <row r="22" spans="1:15" s="17" customFormat="1" ht="13.5" thickTop="1" thickBot="1">
      <c r="A22" s="852"/>
      <c r="B22" s="172" t="s">
        <v>38</v>
      </c>
      <c r="C22" s="490" t="s">
        <v>39</v>
      </c>
      <c r="D22" s="361">
        <f t="shared" si="8"/>
        <v>365620</v>
      </c>
      <c r="E22" s="361">
        <f>SUM(E23:E25,E28,E29)</f>
        <v>0</v>
      </c>
      <c r="F22" s="361">
        <f>SUM(F23:F25,F28,F29)</f>
        <v>268540</v>
      </c>
      <c r="G22" s="361">
        <f>SUM(G23:G25,G28,G29)</f>
        <v>57830</v>
      </c>
      <c r="H22" s="361">
        <f>SUM(H23:H25,H28,H29)</f>
        <v>39290</v>
      </c>
      <c r="I22" s="361">
        <f>SUM(I23:I25,I28,I29)</f>
        <v>-40</v>
      </c>
      <c r="J22" s="256">
        <f t="shared" si="9"/>
        <v>347612.49600000004</v>
      </c>
      <c r="K22" s="256">
        <f>SUM(K23:K25,K28,K29)</f>
        <v>0</v>
      </c>
      <c r="L22" s="256">
        <f>SUM(L23:L25,L28,L29)</f>
        <v>268054.75599999999</v>
      </c>
      <c r="M22" s="256">
        <f>SUM(M23:M25,M28,M29)</f>
        <v>44112.917000000001</v>
      </c>
      <c r="N22" s="361">
        <f>SUM(N23:N25,N28,N29)</f>
        <v>35461.394</v>
      </c>
      <c r="O22" s="256">
        <f>SUM(O23:O25,O28,O29)</f>
        <v>-16.571000000000002</v>
      </c>
    </row>
    <row r="23" spans="1:15" ht="13.5" thickTop="1" thickBot="1">
      <c r="A23" s="852"/>
      <c r="B23" s="406" t="s">
        <v>40</v>
      </c>
      <c r="C23" s="486" t="s">
        <v>41</v>
      </c>
      <c r="D23" s="354">
        <f t="shared" si="8"/>
        <v>0</v>
      </c>
      <c r="E23" s="354">
        <f t="shared" ref="E23:I28" si="10">E7-E16</f>
        <v>0</v>
      </c>
      <c r="F23" s="354">
        <f t="shared" si="10"/>
        <v>0</v>
      </c>
      <c r="G23" s="354">
        <f t="shared" si="10"/>
        <v>0</v>
      </c>
      <c r="H23" s="354">
        <f t="shared" si="10"/>
        <v>0</v>
      </c>
      <c r="I23" s="354">
        <f t="shared" si="10"/>
        <v>0</v>
      </c>
      <c r="J23" s="247">
        <f t="shared" si="9"/>
        <v>0</v>
      </c>
      <c r="K23" s="247">
        <f t="shared" ref="K23:O28" si="11">K7-K16</f>
        <v>0</v>
      </c>
      <c r="L23" s="247">
        <f t="shared" si="11"/>
        <v>0</v>
      </c>
      <c r="M23" s="247">
        <f t="shared" si="11"/>
        <v>0</v>
      </c>
      <c r="N23" s="247">
        <f t="shared" si="11"/>
        <v>0</v>
      </c>
      <c r="O23" s="247">
        <f t="shared" si="11"/>
        <v>0</v>
      </c>
    </row>
    <row r="24" spans="1:15" ht="13.5" thickTop="1" thickBot="1">
      <c r="A24" s="852"/>
      <c r="B24" s="406" t="s">
        <v>42</v>
      </c>
      <c r="C24" s="486" t="s">
        <v>43</v>
      </c>
      <c r="D24" s="354">
        <f t="shared" si="8"/>
        <v>122400</v>
      </c>
      <c r="E24" s="354">
        <f t="shared" si="10"/>
        <v>0</v>
      </c>
      <c r="F24" s="354">
        <f t="shared" si="10"/>
        <v>69080</v>
      </c>
      <c r="G24" s="354">
        <f t="shared" si="10"/>
        <v>17150</v>
      </c>
      <c r="H24" s="354">
        <f t="shared" si="10"/>
        <v>36210</v>
      </c>
      <c r="I24" s="354">
        <f t="shared" si="10"/>
        <v>-40</v>
      </c>
      <c r="J24" s="247">
        <f t="shared" si="9"/>
        <v>97945.545000000013</v>
      </c>
      <c r="K24" s="247">
        <f t="shared" si="11"/>
        <v>0</v>
      </c>
      <c r="L24" s="247">
        <f t="shared" si="11"/>
        <v>50729.525000000009</v>
      </c>
      <c r="M24" s="247">
        <f t="shared" si="11"/>
        <v>14500.962</v>
      </c>
      <c r="N24" s="247">
        <f t="shared" si="11"/>
        <v>32731.628999999997</v>
      </c>
      <c r="O24" s="247">
        <f t="shared" si="11"/>
        <v>-16.571000000000002</v>
      </c>
    </row>
    <row r="25" spans="1:15" ht="13.5" thickTop="1" thickBot="1">
      <c r="A25" s="852"/>
      <c r="B25" s="406" t="s">
        <v>44</v>
      </c>
      <c r="C25" s="486" t="s">
        <v>45</v>
      </c>
      <c r="D25" s="354">
        <f t="shared" si="8"/>
        <v>13810</v>
      </c>
      <c r="E25" s="354">
        <f t="shared" si="10"/>
        <v>0</v>
      </c>
      <c r="F25" s="354">
        <f t="shared" si="10"/>
        <v>14030</v>
      </c>
      <c r="G25" s="354">
        <f t="shared" si="10"/>
        <v>-220</v>
      </c>
      <c r="H25" s="354">
        <f t="shared" si="10"/>
        <v>0</v>
      </c>
      <c r="I25" s="354">
        <f t="shared" si="10"/>
        <v>0</v>
      </c>
      <c r="J25" s="247">
        <f t="shared" si="9"/>
        <v>12012.267999999998</v>
      </c>
      <c r="K25" s="247">
        <f t="shared" si="11"/>
        <v>0</v>
      </c>
      <c r="L25" s="247">
        <f t="shared" si="11"/>
        <v>12155.645999999999</v>
      </c>
      <c r="M25" s="247">
        <f t="shared" si="11"/>
        <v>-143.37799999999999</v>
      </c>
      <c r="N25" s="247">
        <f t="shared" si="11"/>
        <v>0</v>
      </c>
      <c r="O25" s="247">
        <f t="shared" si="11"/>
        <v>0</v>
      </c>
    </row>
    <row r="26" spans="1:15" ht="13.5" thickTop="1" thickBot="1">
      <c r="A26" s="852"/>
      <c r="B26" s="412" t="s">
        <v>46</v>
      </c>
      <c r="C26" s="487" t="s">
        <v>192</v>
      </c>
      <c r="D26" s="354">
        <f t="shared" si="8"/>
        <v>15170</v>
      </c>
      <c r="E26" s="357">
        <f t="shared" si="10"/>
        <v>0</v>
      </c>
      <c r="F26" s="357">
        <f t="shared" si="10"/>
        <v>15170</v>
      </c>
      <c r="G26" s="357">
        <f t="shared" si="10"/>
        <v>0</v>
      </c>
      <c r="H26" s="357">
        <f t="shared" si="10"/>
        <v>0</v>
      </c>
      <c r="I26" s="357">
        <f t="shared" si="10"/>
        <v>0</v>
      </c>
      <c r="J26" s="247">
        <f t="shared" si="9"/>
        <v>13531.217999999999</v>
      </c>
      <c r="K26" s="251">
        <f t="shared" si="11"/>
        <v>0</v>
      </c>
      <c r="L26" s="251">
        <f t="shared" si="11"/>
        <v>13531.217999999999</v>
      </c>
      <c r="M26" s="251">
        <f t="shared" si="11"/>
        <v>0</v>
      </c>
      <c r="N26" s="251">
        <f t="shared" si="11"/>
        <v>0</v>
      </c>
      <c r="O26" s="251">
        <f t="shared" si="11"/>
        <v>0</v>
      </c>
    </row>
    <row r="27" spans="1:15" ht="13.5" thickTop="1" thickBot="1">
      <c r="A27" s="852"/>
      <c r="B27" s="412" t="s">
        <v>47</v>
      </c>
      <c r="C27" s="487" t="s">
        <v>191</v>
      </c>
      <c r="D27" s="354">
        <f t="shared" si="8"/>
        <v>-1360</v>
      </c>
      <c r="E27" s="357">
        <f t="shared" si="10"/>
        <v>0</v>
      </c>
      <c r="F27" s="357">
        <f t="shared" si="10"/>
        <v>-1140</v>
      </c>
      <c r="G27" s="357">
        <f t="shared" si="10"/>
        <v>-220</v>
      </c>
      <c r="H27" s="357">
        <f t="shared" si="10"/>
        <v>0</v>
      </c>
      <c r="I27" s="357">
        <f t="shared" si="10"/>
        <v>0</v>
      </c>
      <c r="J27" s="247">
        <f t="shared" si="9"/>
        <v>-1518.9499999999998</v>
      </c>
      <c r="K27" s="251">
        <f t="shared" si="11"/>
        <v>0</v>
      </c>
      <c r="L27" s="251">
        <f t="shared" si="11"/>
        <v>-1375.5719999999999</v>
      </c>
      <c r="M27" s="251">
        <f t="shared" si="11"/>
        <v>-143.37799999999999</v>
      </c>
      <c r="N27" s="251">
        <f t="shared" si="11"/>
        <v>0</v>
      </c>
      <c r="O27" s="251">
        <f t="shared" si="11"/>
        <v>0</v>
      </c>
    </row>
    <row r="28" spans="1:15" ht="13.5" thickTop="1" thickBot="1">
      <c r="A28" s="852"/>
      <c r="B28" s="406" t="s">
        <v>48</v>
      </c>
      <c r="C28" s="486" t="s">
        <v>49</v>
      </c>
      <c r="D28" s="354">
        <f t="shared" si="8"/>
        <v>226610</v>
      </c>
      <c r="E28" s="354">
        <f t="shared" si="10"/>
        <v>0</v>
      </c>
      <c r="F28" s="354">
        <f t="shared" si="10"/>
        <v>185430</v>
      </c>
      <c r="G28" s="354">
        <f t="shared" si="10"/>
        <v>38100</v>
      </c>
      <c r="H28" s="354">
        <f t="shared" si="10"/>
        <v>3080</v>
      </c>
      <c r="I28" s="354">
        <f t="shared" si="10"/>
        <v>0</v>
      </c>
      <c r="J28" s="247">
        <f t="shared" si="9"/>
        <v>236302.68300000002</v>
      </c>
      <c r="K28" s="247">
        <f t="shared" si="11"/>
        <v>0</v>
      </c>
      <c r="L28" s="247">
        <f t="shared" si="11"/>
        <v>205169.58499999999</v>
      </c>
      <c r="M28" s="247">
        <f t="shared" si="11"/>
        <v>28403.332999999999</v>
      </c>
      <c r="N28" s="247">
        <f t="shared" si="11"/>
        <v>2729.7649999999999</v>
      </c>
      <c r="O28" s="247">
        <f t="shared" si="11"/>
        <v>0</v>
      </c>
    </row>
    <row r="29" spans="1:15" ht="13.5" thickTop="1" thickBot="1">
      <c r="A29" s="852"/>
      <c r="B29" s="406" t="s">
        <v>50</v>
      </c>
      <c r="C29" s="486" t="s">
        <v>25</v>
      </c>
      <c r="D29" s="354">
        <f t="shared" si="8"/>
        <v>2800</v>
      </c>
      <c r="E29" s="354">
        <f>E14</f>
        <v>0</v>
      </c>
      <c r="F29" s="354">
        <f>F14</f>
        <v>0</v>
      </c>
      <c r="G29" s="354">
        <f>G14</f>
        <v>2800</v>
      </c>
      <c r="H29" s="354">
        <f>H14</f>
        <v>0</v>
      </c>
      <c r="I29" s="354">
        <f>I14</f>
        <v>0</v>
      </c>
      <c r="J29" s="247">
        <f t="shared" si="9"/>
        <v>1351.9999999999995</v>
      </c>
      <c r="K29" s="247">
        <f>K14</f>
        <v>0</v>
      </c>
      <c r="L29" s="247">
        <f>L14</f>
        <v>0</v>
      </c>
      <c r="M29" s="247">
        <f>M14</f>
        <v>1351.9999999999995</v>
      </c>
      <c r="N29" s="247">
        <f>N14</f>
        <v>0</v>
      </c>
      <c r="O29" s="247">
        <f>O14</f>
        <v>0</v>
      </c>
    </row>
    <row r="30" spans="1:15" ht="13.5" thickTop="1" thickBot="1">
      <c r="A30" s="852" t="s">
        <v>51</v>
      </c>
      <c r="B30" s="15" t="s">
        <v>52</v>
      </c>
      <c r="C30" s="488" t="s">
        <v>53</v>
      </c>
      <c r="D30" s="362">
        <f>SUM(F30:I30)</f>
        <v>439731</v>
      </c>
      <c r="E30" s="362"/>
      <c r="F30" s="362">
        <f>SUM(F31:F33)</f>
        <v>0</v>
      </c>
      <c r="G30" s="362">
        <f>SUM(G31:G33)</f>
        <v>55191</v>
      </c>
      <c r="H30" s="362">
        <f>SUM(H31:H33)</f>
        <v>231090</v>
      </c>
      <c r="I30" s="362">
        <f>SUM(I31:I33)</f>
        <v>153450</v>
      </c>
      <c r="J30" s="258">
        <f>SUM(L30:O30)</f>
        <v>423505.66800000012</v>
      </c>
      <c r="K30" s="258"/>
      <c r="L30" s="258">
        <f>SUM(L31:L33)</f>
        <v>0</v>
      </c>
      <c r="M30" s="258">
        <f>SUM(M31:M33)</f>
        <v>54527.99</v>
      </c>
      <c r="N30" s="258">
        <f>SUM(N31:N33)</f>
        <v>222419.88100000005</v>
      </c>
      <c r="O30" s="258">
        <f>SUM(O31:O33)</f>
        <v>146557.79700000008</v>
      </c>
    </row>
    <row r="31" spans="1:15" ht="13.5" thickTop="1" thickBot="1">
      <c r="A31" s="852"/>
      <c r="B31" s="406" t="s">
        <v>54</v>
      </c>
      <c r="C31" s="486" t="s">
        <v>55</v>
      </c>
      <c r="D31" s="354">
        <f t="shared" ref="D31:D43" si="12">SUM(E31:I31)</f>
        <v>183970</v>
      </c>
      <c r="E31" s="363"/>
      <c r="F31" s="364"/>
      <c r="G31" s="354">
        <f>F36</f>
        <v>55191</v>
      </c>
      <c r="H31" s="354">
        <f>F37</f>
        <v>128778.99999999999</v>
      </c>
      <c r="I31" s="363"/>
      <c r="J31" s="247">
        <f t="shared" ref="J31:J43" si="13">SUM(K31:O31)</f>
        <v>188027.55300000001</v>
      </c>
      <c r="K31" s="259"/>
      <c r="L31" s="260"/>
      <c r="M31" s="247">
        <f>L36</f>
        <v>54527.99</v>
      </c>
      <c r="N31" s="247">
        <f>L37</f>
        <v>133499.56300000002</v>
      </c>
      <c r="O31" s="259"/>
    </row>
    <row r="32" spans="1:15" ht="13.5" thickTop="1" thickBot="1">
      <c r="A32" s="852"/>
      <c r="B32" s="406" t="s">
        <v>56</v>
      </c>
      <c r="C32" s="486" t="s">
        <v>57</v>
      </c>
      <c r="D32" s="354">
        <f t="shared" si="12"/>
        <v>102311</v>
      </c>
      <c r="E32" s="363"/>
      <c r="F32" s="363"/>
      <c r="G32" s="363"/>
      <c r="H32" s="354">
        <f>G37</f>
        <v>102311</v>
      </c>
      <c r="I32" s="364">
        <f>G43</f>
        <v>0</v>
      </c>
      <c r="J32" s="247">
        <f t="shared" si="13"/>
        <v>88920.318000000014</v>
      </c>
      <c r="K32" s="259"/>
      <c r="L32" s="259"/>
      <c r="M32" s="259"/>
      <c r="N32" s="247">
        <f>M37</f>
        <v>88920.318000000014</v>
      </c>
      <c r="O32" s="260">
        <f>M43</f>
        <v>0</v>
      </c>
    </row>
    <row r="33" spans="1:15" ht="13.5" thickTop="1" thickBot="1">
      <c r="A33" s="852"/>
      <c r="B33" s="406" t="s">
        <v>58</v>
      </c>
      <c r="C33" s="486" t="s">
        <v>59</v>
      </c>
      <c r="D33" s="354">
        <f t="shared" si="12"/>
        <v>153450</v>
      </c>
      <c r="E33" s="363"/>
      <c r="F33" s="363"/>
      <c r="G33" s="363"/>
      <c r="H33" s="363"/>
      <c r="I33" s="354">
        <f>G38+H38</f>
        <v>153450</v>
      </c>
      <c r="J33" s="247">
        <f t="shared" si="13"/>
        <v>146557.79700000008</v>
      </c>
      <c r="K33" s="259"/>
      <c r="L33" s="259"/>
      <c r="M33" s="259"/>
      <c r="N33" s="259"/>
      <c r="O33" s="247">
        <f>M38+N38</f>
        <v>146557.79700000008</v>
      </c>
    </row>
    <row r="34" spans="1:15" ht="13.5" thickTop="1" thickBot="1">
      <c r="A34" s="852"/>
      <c r="B34" s="15" t="s">
        <v>60</v>
      </c>
      <c r="C34" s="488" t="s">
        <v>61</v>
      </c>
      <c r="D34" s="362">
        <f t="shared" si="12"/>
        <v>439731</v>
      </c>
      <c r="E34" s="362"/>
      <c r="F34" s="362">
        <f>SUM(F35:F38)</f>
        <v>183970</v>
      </c>
      <c r="G34" s="362">
        <f>SUM(G35:G38)</f>
        <v>102311</v>
      </c>
      <c r="H34" s="362">
        <f>SUM(H35:H38)</f>
        <v>153450</v>
      </c>
      <c r="I34" s="285">
        <f>SUM(I35:I38)</f>
        <v>0</v>
      </c>
      <c r="J34" s="258">
        <f t="shared" si="13"/>
        <v>423505.66800000012</v>
      </c>
      <c r="K34" s="258"/>
      <c r="L34" s="258">
        <f>SUM(L35:L38)</f>
        <v>188027.55300000001</v>
      </c>
      <c r="M34" s="258">
        <f>SUM(M35:M38)</f>
        <v>88920.318000000014</v>
      </c>
      <c r="N34" s="258">
        <f>SUM(N35:N38)</f>
        <v>146557.79700000008</v>
      </c>
      <c r="O34" s="261">
        <f>SUM(O35:O38)</f>
        <v>0</v>
      </c>
    </row>
    <row r="35" spans="1:15" ht="13.5" thickTop="1" thickBot="1">
      <c r="A35" s="852"/>
      <c r="B35" s="406" t="s">
        <v>62</v>
      </c>
      <c r="C35" s="486" t="s">
        <v>63</v>
      </c>
      <c r="D35" s="354">
        <f t="shared" si="12"/>
        <v>0</v>
      </c>
      <c r="E35" s="364"/>
      <c r="F35" s="363"/>
      <c r="G35" s="363"/>
      <c r="H35" s="363"/>
      <c r="I35" s="363"/>
      <c r="J35" s="247">
        <f t="shared" si="13"/>
        <v>0</v>
      </c>
      <c r="K35" s="260"/>
      <c r="L35" s="259"/>
      <c r="M35" s="259"/>
      <c r="N35" s="259"/>
      <c r="O35" s="259"/>
    </row>
    <row r="36" spans="1:15" ht="13.5" thickTop="1" thickBot="1">
      <c r="A36" s="852"/>
      <c r="B36" s="406" t="s">
        <v>64</v>
      </c>
      <c r="C36" s="486" t="s">
        <v>65</v>
      </c>
      <c r="D36" s="354">
        <f t="shared" si="12"/>
        <v>55191</v>
      </c>
      <c r="E36" s="354"/>
      <c r="F36" s="333">
        <v>55191</v>
      </c>
      <c r="G36" s="259"/>
      <c r="H36" s="259"/>
      <c r="I36" s="363"/>
      <c r="J36" s="247">
        <f t="shared" si="13"/>
        <v>54527.99</v>
      </c>
      <c r="K36" s="247"/>
      <c r="L36" s="465">
        <v>54527.99</v>
      </c>
      <c r="M36" s="466"/>
      <c r="N36" s="466"/>
      <c r="O36" s="259"/>
    </row>
    <row r="37" spans="1:15" ht="13.5" thickTop="1" thickBot="1">
      <c r="A37" s="852"/>
      <c r="B37" s="406" t="s">
        <v>66</v>
      </c>
      <c r="C37" s="486" t="s">
        <v>67</v>
      </c>
      <c r="D37" s="354">
        <f t="shared" si="12"/>
        <v>231090</v>
      </c>
      <c r="E37" s="354"/>
      <c r="F37" s="333">
        <v>128778.99999999999</v>
      </c>
      <c r="G37" s="333">
        <v>102311</v>
      </c>
      <c r="H37" s="259"/>
      <c r="I37" s="363"/>
      <c r="J37" s="247">
        <f t="shared" si="13"/>
        <v>222419.88100000005</v>
      </c>
      <c r="K37" s="247"/>
      <c r="L37" s="465">
        <v>133499.56300000002</v>
      </c>
      <c r="M37" s="465">
        <v>88920.318000000014</v>
      </c>
      <c r="N37" s="466"/>
      <c r="O37" s="259"/>
    </row>
    <row r="38" spans="1:15" ht="13.5" thickTop="1" thickBot="1">
      <c r="A38" s="852"/>
      <c r="B38" s="406" t="s">
        <v>68</v>
      </c>
      <c r="C38" s="486" t="s">
        <v>69</v>
      </c>
      <c r="D38" s="354">
        <f t="shared" si="12"/>
        <v>153450</v>
      </c>
      <c r="E38" s="363"/>
      <c r="F38" s="259"/>
      <c r="G38" s="260"/>
      <c r="H38" s="333">
        <v>153450</v>
      </c>
      <c r="I38" s="363"/>
      <c r="J38" s="247">
        <f t="shared" si="13"/>
        <v>146557.79700000008</v>
      </c>
      <c r="K38" s="259"/>
      <c r="L38" s="466"/>
      <c r="M38" s="467"/>
      <c r="N38" s="465">
        <v>146557.79700000008</v>
      </c>
      <c r="O38" s="259"/>
    </row>
    <row r="39" spans="1:15" s="17" customFormat="1" ht="13.5" thickTop="1" thickBot="1">
      <c r="A39" s="852"/>
      <c r="B39" s="172" t="s">
        <v>70</v>
      </c>
      <c r="C39" s="490" t="s">
        <v>71</v>
      </c>
      <c r="D39" s="365">
        <f t="shared" si="12"/>
        <v>0</v>
      </c>
      <c r="E39" s="365"/>
      <c r="F39" s="365">
        <f>SUM(F40:F43)</f>
        <v>-183970</v>
      </c>
      <c r="G39" s="365">
        <f>SUM(G40:G43)</f>
        <v>-47120</v>
      </c>
      <c r="H39" s="365">
        <f>SUM(H40:H43)</f>
        <v>77640</v>
      </c>
      <c r="I39" s="365">
        <f>SUM(I40:I43)</f>
        <v>153450</v>
      </c>
      <c r="J39" s="262">
        <f t="shared" si="13"/>
        <v>0</v>
      </c>
      <c r="K39" s="262"/>
      <c r="L39" s="262">
        <f>SUM(L40:L43)</f>
        <v>-188027.55300000001</v>
      </c>
      <c r="M39" s="262">
        <f>SUM(M40:M43)</f>
        <v>-34392.328000000016</v>
      </c>
      <c r="N39" s="262">
        <f>SUM(N40:N43)</f>
        <v>75862.083999999973</v>
      </c>
      <c r="O39" s="262">
        <f>SUM(O40:O43)</f>
        <v>146557.79700000008</v>
      </c>
    </row>
    <row r="40" spans="1:15" ht="13.5" thickTop="1" thickBot="1">
      <c r="A40" s="852"/>
      <c r="B40" s="406" t="s">
        <v>72</v>
      </c>
      <c r="C40" s="486" t="s">
        <v>5</v>
      </c>
      <c r="D40" s="366">
        <f t="shared" si="12"/>
        <v>183970</v>
      </c>
      <c r="E40" s="367"/>
      <c r="F40" s="367">
        <f>F31-F35</f>
        <v>0</v>
      </c>
      <c r="G40" s="367">
        <f>G31-G35</f>
        <v>55191</v>
      </c>
      <c r="H40" s="367">
        <f>H31-H35</f>
        <v>128778.99999999999</v>
      </c>
      <c r="I40" s="368"/>
      <c r="J40" s="264">
        <f t="shared" si="13"/>
        <v>188027.55300000001</v>
      </c>
      <c r="K40" s="265"/>
      <c r="L40" s="265">
        <f>L31-L35</f>
        <v>0</v>
      </c>
      <c r="M40" s="265">
        <f>M31-M35</f>
        <v>54527.99</v>
      </c>
      <c r="N40" s="265">
        <f>N31-N35</f>
        <v>133499.56300000002</v>
      </c>
      <c r="O40" s="266"/>
    </row>
    <row r="41" spans="1:15" ht="13.5" thickTop="1" thickBot="1">
      <c r="A41" s="852"/>
      <c r="B41" s="406" t="s">
        <v>73</v>
      </c>
      <c r="C41" s="486" t="s">
        <v>74</v>
      </c>
      <c r="D41" s="366">
        <f t="shared" si="12"/>
        <v>47120</v>
      </c>
      <c r="E41" s="367">
        <f>E32-E36</f>
        <v>0</v>
      </c>
      <c r="F41" s="367">
        <f>F32-F36</f>
        <v>-55191</v>
      </c>
      <c r="G41" s="368"/>
      <c r="H41" s="367">
        <f>H32-H36</f>
        <v>102311</v>
      </c>
      <c r="I41" s="368"/>
      <c r="J41" s="264">
        <f t="shared" si="13"/>
        <v>34392.328000000016</v>
      </c>
      <c r="K41" s="265">
        <f>K32-K36</f>
        <v>0</v>
      </c>
      <c r="L41" s="265">
        <f>L32-L36</f>
        <v>-54527.99</v>
      </c>
      <c r="M41" s="266"/>
      <c r="N41" s="265">
        <f>N32-N36</f>
        <v>88920.318000000014</v>
      </c>
      <c r="O41" s="266"/>
    </row>
    <row r="42" spans="1:15" ht="13.5" thickTop="1" thickBot="1">
      <c r="A42" s="852"/>
      <c r="B42" s="406" t="s">
        <v>75</v>
      </c>
      <c r="C42" s="486" t="s">
        <v>76</v>
      </c>
      <c r="D42" s="366">
        <f t="shared" si="12"/>
        <v>-77640</v>
      </c>
      <c r="E42" s="367">
        <f>E33-E37</f>
        <v>0</v>
      </c>
      <c r="F42" s="367">
        <f>F33-F37</f>
        <v>-128778.99999999999</v>
      </c>
      <c r="G42" s="367">
        <f>G33-G37</f>
        <v>-102311</v>
      </c>
      <c r="H42" s="368"/>
      <c r="I42" s="367">
        <f>I33-I37</f>
        <v>153450</v>
      </c>
      <c r="J42" s="264">
        <f t="shared" si="13"/>
        <v>-75862.083999999973</v>
      </c>
      <c r="K42" s="265">
        <f>K33-K37</f>
        <v>0</v>
      </c>
      <c r="L42" s="265">
        <f>L33-L37</f>
        <v>-133499.56300000002</v>
      </c>
      <c r="M42" s="265">
        <f>M33-M37</f>
        <v>-88920.318000000014</v>
      </c>
      <c r="N42" s="266"/>
      <c r="O42" s="265">
        <f>O33-O37</f>
        <v>146557.79700000008</v>
      </c>
    </row>
    <row r="43" spans="1:15" ht="13.5" thickTop="1" thickBot="1">
      <c r="A43" s="852"/>
      <c r="B43" s="491" t="s">
        <v>77</v>
      </c>
      <c r="C43" s="492" t="s">
        <v>8</v>
      </c>
      <c r="D43" s="367">
        <f t="shared" si="12"/>
        <v>-153450</v>
      </c>
      <c r="E43" s="368"/>
      <c r="F43" s="368"/>
      <c r="G43" s="367"/>
      <c r="H43" s="367">
        <f>-H38</f>
        <v>-153450</v>
      </c>
      <c r="I43" s="368"/>
      <c r="J43" s="265">
        <f t="shared" si="13"/>
        <v>-146557.79700000008</v>
      </c>
      <c r="K43" s="266"/>
      <c r="L43" s="266"/>
      <c r="M43" s="265"/>
      <c r="N43" s="265">
        <f>-N38</f>
        <v>-146557.79700000008</v>
      </c>
      <c r="O43" s="266"/>
    </row>
    <row r="44" spans="1:15" ht="13.5" thickTop="1" thickBot="1">
      <c r="A44" s="21"/>
      <c r="B44" s="493" t="s">
        <v>78</v>
      </c>
      <c r="C44" s="494" t="s">
        <v>79</v>
      </c>
      <c r="D44" s="201">
        <f>D22</f>
        <v>365620</v>
      </c>
      <c r="E44" s="201">
        <f>E22+E30</f>
        <v>0</v>
      </c>
      <c r="F44" s="201">
        <f>F22+F30</f>
        <v>268540</v>
      </c>
      <c r="G44" s="201">
        <f>G22+G30</f>
        <v>113021</v>
      </c>
      <c r="H44" s="201">
        <f>H22+H30</f>
        <v>270380</v>
      </c>
      <c r="I44" s="201">
        <f>I22+I30</f>
        <v>153410</v>
      </c>
      <c r="J44" s="201">
        <f>J22</f>
        <v>347612.49600000004</v>
      </c>
      <c r="K44" s="201">
        <f>K22+K30</f>
        <v>0</v>
      </c>
      <c r="L44" s="201">
        <f>L22+L30</f>
        <v>268054.75599999999</v>
      </c>
      <c r="M44" s="201">
        <f>M22+M30</f>
        <v>98640.907000000007</v>
      </c>
      <c r="N44" s="201">
        <f>N22+N30</f>
        <v>257881.27500000005</v>
      </c>
      <c r="O44" s="201">
        <f>O22+O30</f>
        <v>146541.22600000008</v>
      </c>
    </row>
    <row r="45" spans="1:15" ht="13.5" thickTop="1" thickBot="1">
      <c r="A45" s="458"/>
      <c r="B45" s="495" t="s">
        <v>80</v>
      </c>
      <c r="C45" s="496" t="s">
        <v>81</v>
      </c>
      <c r="D45" s="203">
        <f>D44</f>
        <v>365620</v>
      </c>
      <c r="E45" s="203">
        <f>E143+E151+E34</f>
        <v>0</v>
      </c>
      <c r="F45" s="203">
        <f>F143+F151+F34-G49-H49-G73-H73-G78-H78-H54-H97-H109-G97-G102-H102-G109-G114-H114-G121-H121-G126-H126-G133-H133</f>
        <v>268540</v>
      </c>
      <c r="G45" s="203">
        <f>G143+G151+G34-H50-I50-H55-I55-H62-I62-H67-I67-H98-H74-H79-H86-H91-H103-H110-H115-H122-H127-H134</f>
        <v>109338.6</v>
      </c>
      <c r="H45" s="203">
        <f>H143+H151+H34-I51-I56-I63-I68-I75-I80-I87-I92-I99-I104-I111-I116-I123-I128</f>
        <v>250429.5</v>
      </c>
      <c r="I45" s="203">
        <f>I151+I143</f>
        <v>151952.1</v>
      </c>
      <c r="J45" s="203">
        <f>J44</f>
        <v>347612.49600000004</v>
      </c>
      <c r="K45" s="203">
        <f>K143+K151+K34</f>
        <v>0</v>
      </c>
      <c r="L45" s="203">
        <f>L143+L151+L34-M49-N49-M73-N73-M78-N78-N54-N97-N109-M97-M102-N102-M109-M114-N114-M121-N121-M126-N126-M133-N133</f>
        <v>268054.75600000005</v>
      </c>
      <c r="M45" s="203">
        <f>M143+M151+M34-N50-O50-N55-O55-N62-O62-N67-O67-N98-N74-N79-N86-N91-N103-N110-N115-N122-N127-N134</f>
        <v>95031.143000000011</v>
      </c>
      <c r="N45" s="203">
        <f>N143+N151+N34-O51-O56-O63-O68-O75-O80-O87-O92-O99-O104-O111-O116-O123-O128</f>
        <v>231748.12100000004</v>
      </c>
      <c r="O45" s="203">
        <f>O151+O143</f>
        <v>145088.19500000007</v>
      </c>
    </row>
    <row r="46" spans="1:15" ht="12.75" thickBot="1">
      <c r="A46" s="859" t="s">
        <v>82</v>
      </c>
      <c r="B46" s="15" t="s">
        <v>83</v>
      </c>
      <c r="C46" s="488" t="s">
        <v>84</v>
      </c>
      <c r="D46" s="181">
        <f>SUM(E46:I46)</f>
        <v>285670</v>
      </c>
      <c r="E46" s="322">
        <f>E47+E59+E71+E83+E95</f>
        <v>0</v>
      </c>
      <c r="F46" s="322">
        <f>F47+F59+F71+F83+F95+F107+F119+F131</f>
        <v>73860</v>
      </c>
      <c r="G46" s="322">
        <f>G47+G59+G71+G83+G95+G107+G119+G131</f>
        <v>4610</v>
      </c>
      <c r="H46" s="322">
        <f>H47+H59+H71+H83+H95+H107+H119+H131</f>
        <v>95330</v>
      </c>
      <c r="I46" s="322">
        <f>I47+I59+I71+I83+I95+I107+I119+I131</f>
        <v>111870</v>
      </c>
      <c r="J46" s="181">
        <f>SUM(K46:O46)</f>
        <v>259928.851</v>
      </c>
      <c r="K46" s="322">
        <f>K47+K59+K71+K83+K95</f>
        <v>0</v>
      </c>
      <c r="L46" s="322">
        <f>L47+L59+L71+L83+L95+L107+L119+L131</f>
        <v>70569.014999999999</v>
      </c>
      <c r="M46" s="322">
        <f>M47+M59+M71+M83+M95+M107+M119+M131</f>
        <v>4627.7179999999998</v>
      </c>
      <c r="N46" s="322">
        <f>N47+N59+N71+N83+N95+N107+N119+N131</f>
        <v>91679.547999999995</v>
      </c>
      <c r="O46" s="322">
        <f>O47+O59+O71+O83+O95+O107+O119+O131</f>
        <v>93052.57</v>
      </c>
    </row>
    <row r="47" spans="1:15" s="3" customFormat="1" ht="13.5" thickTop="1" thickBot="1">
      <c r="A47" s="852"/>
      <c r="B47" s="497" t="s">
        <v>85</v>
      </c>
      <c r="C47" s="498" t="s">
        <v>86</v>
      </c>
      <c r="D47" s="369">
        <f t="shared" ref="D47:D94" si="14">SUM(E47:I47)</f>
        <v>199960</v>
      </c>
      <c r="E47" s="370"/>
      <c r="F47" s="478">
        <v>800</v>
      </c>
      <c r="G47" s="478">
        <v>1300</v>
      </c>
      <c r="H47" s="479">
        <v>86510</v>
      </c>
      <c r="I47" s="478">
        <v>111350</v>
      </c>
      <c r="J47" s="369">
        <f t="shared" ref="J47:J58" si="15">SUM(K47:O47)</f>
        <v>181013.4</v>
      </c>
      <c r="K47" s="273"/>
      <c r="L47" s="273">
        <f>22928.448-N49-N54</f>
        <v>1813.6170000000011</v>
      </c>
      <c r="M47" s="273">
        <v>1017.954</v>
      </c>
      <c r="N47" s="705">
        <f>63481.043+N49+N50+N54+426.459+357.789-202.868+121-120.879</f>
        <v>85745.972999999998</v>
      </c>
      <c r="O47" s="273">
        <f>89223.638+1319.353+222.597+1670.389-121+120.879</f>
        <v>92435.856</v>
      </c>
    </row>
    <row r="48" spans="1:15" ht="13.5" thickTop="1" thickBot="1">
      <c r="A48" s="852"/>
      <c r="B48" s="400" t="s">
        <v>87</v>
      </c>
      <c r="C48" s="499" t="s">
        <v>88</v>
      </c>
      <c r="D48" s="367">
        <f t="shared" si="14"/>
        <v>0</v>
      </c>
      <c r="E48" s="367"/>
      <c r="F48" s="367"/>
      <c r="G48" s="367"/>
      <c r="H48" s="367"/>
      <c r="I48" s="367"/>
      <c r="J48" s="265">
        <f t="shared" si="15"/>
        <v>0</v>
      </c>
      <c r="K48" s="265"/>
      <c r="L48" s="265"/>
      <c r="M48" s="265"/>
      <c r="N48" s="265"/>
      <c r="O48" s="265"/>
    </row>
    <row r="49" spans="1:16" ht="13.5" thickTop="1" thickBot="1">
      <c r="A49" s="852"/>
      <c r="B49" s="396"/>
      <c r="C49" s="500" t="s">
        <v>89</v>
      </c>
      <c r="D49" s="371">
        <f t="shared" si="14"/>
        <v>7900</v>
      </c>
      <c r="E49" s="372"/>
      <c r="F49" s="372"/>
      <c r="G49" s="371"/>
      <c r="H49" s="373">
        <v>7900</v>
      </c>
      <c r="I49" s="372"/>
      <c r="J49" s="277">
        <f t="shared" si="15"/>
        <v>14824.172999999999</v>
      </c>
      <c r="K49" s="278"/>
      <c r="L49" s="278"/>
      <c r="M49" s="277"/>
      <c r="N49" s="526">
        <f>15351.73-527.557</f>
        <v>14824.172999999999</v>
      </c>
      <c r="O49" s="278"/>
    </row>
    <row r="50" spans="1:16" ht="13.5" thickTop="1" thickBot="1">
      <c r="A50" s="852"/>
      <c r="B50" s="396"/>
      <c r="C50" s="500" t="s">
        <v>90</v>
      </c>
      <c r="D50" s="371">
        <f t="shared" si="14"/>
        <v>2000</v>
      </c>
      <c r="E50" s="372"/>
      <c r="F50" s="372"/>
      <c r="G50" s="372"/>
      <c r="H50" s="371">
        <v>2000</v>
      </c>
      <c r="I50" s="371"/>
      <c r="J50" s="277">
        <f t="shared" si="15"/>
        <v>568.59799999999996</v>
      </c>
      <c r="K50" s="278"/>
      <c r="L50" s="278"/>
      <c r="M50" s="278"/>
      <c r="N50" s="526">
        <v>568.59799999999996</v>
      </c>
      <c r="O50" s="277"/>
    </row>
    <row r="51" spans="1:16" ht="13.5" thickTop="1" thickBot="1">
      <c r="A51" s="852"/>
      <c r="B51" s="396"/>
      <c r="C51" s="500" t="s">
        <v>91</v>
      </c>
      <c r="D51" s="371">
        <f t="shared" si="14"/>
        <v>0</v>
      </c>
      <c r="E51" s="372"/>
      <c r="F51" s="372"/>
      <c r="G51" s="372"/>
      <c r="H51" s="372"/>
      <c r="I51" s="371"/>
      <c r="J51" s="277">
        <f t="shared" si="15"/>
        <v>0</v>
      </c>
      <c r="K51" s="278"/>
      <c r="L51" s="278"/>
      <c r="M51" s="278"/>
      <c r="N51" s="278"/>
      <c r="O51" s="277"/>
    </row>
    <row r="52" spans="1:16" ht="13.5" thickTop="1" thickBot="1">
      <c r="A52" s="852"/>
      <c r="B52" s="400" t="s">
        <v>92</v>
      </c>
      <c r="C52" s="499" t="s">
        <v>93</v>
      </c>
      <c r="D52" s="367">
        <f t="shared" si="14"/>
        <v>0</v>
      </c>
      <c r="E52" s="367"/>
      <c r="F52" s="384"/>
      <c r="G52" s="384"/>
      <c r="H52" s="384"/>
      <c r="I52" s="384"/>
      <c r="J52" s="265">
        <f t="shared" si="15"/>
        <v>0</v>
      </c>
      <c r="K52" s="279"/>
      <c r="L52" s="340"/>
      <c r="M52" s="340"/>
      <c r="N52" s="340"/>
      <c r="O52" s="340"/>
      <c r="P52" s="321"/>
    </row>
    <row r="53" spans="1:16" ht="13.5" thickTop="1" thickBot="1">
      <c r="A53" s="852"/>
      <c r="B53" s="400" t="s">
        <v>94</v>
      </c>
      <c r="C53" s="499" t="s">
        <v>95</v>
      </c>
      <c r="D53" s="374">
        <f t="shared" si="14"/>
        <v>24931</v>
      </c>
      <c r="E53" s="376"/>
      <c r="F53" s="376"/>
      <c r="G53" s="375">
        <v>1151</v>
      </c>
      <c r="H53" s="375">
        <f>22754+1026</f>
        <v>23780</v>
      </c>
      <c r="I53" s="367"/>
      <c r="J53" s="280">
        <f>SUM(K53:O53)</f>
        <v>21632.662</v>
      </c>
      <c r="K53" s="238"/>
      <c r="L53" s="238"/>
      <c r="M53" s="281">
        <v>1017.954</v>
      </c>
      <c r="N53" s="281">
        <v>20608.144</v>
      </c>
      <c r="O53" s="281">
        <v>6.5640000000000001</v>
      </c>
    </row>
    <row r="54" spans="1:16" ht="13.5" thickTop="1" thickBot="1">
      <c r="A54" s="852"/>
      <c r="B54" s="396"/>
      <c r="C54" s="500" t="s">
        <v>89</v>
      </c>
      <c r="D54" s="371">
        <f t="shared" si="14"/>
        <v>1200</v>
      </c>
      <c r="E54" s="377"/>
      <c r="F54" s="377"/>
      <c r="G54" s="376"/>
      <c r="H54" s="376">
        <v>1200</v>
      </c>
      <c r="I54" s="372"/>
      <c r="J54" s="277">
        <f t="shared" si="15"/>
        <v>6290.6580000000004</v>
      </c>
      <c r="K54" s="282"/>
      <c r="L54" s="282"/>
      <c r="M54" s="238"/>
      <c r="N54" s="603">
        <v>6290.6580000000004</v>
      </c>
      <c r="O54" s="278"/>
    </row>
    <row r="55" spans="1:16" ht="13.5" thickTop="1" thickBot="1">
      <c r="A55" s="852"/>
      <c r="B55" s="396"/>
      <c r="C55" s="500" t="s">
        <v>90</v>
      </c>
      <c r="D55" s="371">
        <f t="shared" si="14"/>
        <v>0</v>
      </c>
      <c r="E55" s="372"/>
      <c r="F55" s="372"/>
      <c r="G55" s="372"/>
      <c r="H55" s="371"/>
      <c r="I55" s="371"/>
      <c r="J55" s="277">
        <f t="shared" si="15"/>
        <v>0</v>
      </c>
      <c r="K55" s="278"/>
      <c r="L55" s="278"/>
      <c r="M55" s="278"/>
      <c r="N55" s="277"/>
      <c r="O55" s="277"/>
    </row>
    <row r="56" spans="1:16" ht="13.5" thickTop="1" thickBot="1">
      <c r="A56" s="852"/>
      <c r="B56" s="396"/>
      <c r="C56" s="500" t="s">
        <v>91</v>
      </c>
      <c r="D56" s="371">
        <f t="shared" si="14"/>
        <v>0</v>
      </c>
      <c r="E56" s="372"/>
      <c r="F56" s="372"/>
      <c r="G56" s="372"/>
      <c r="H56" s="372"/>
      <c r="I56" s="371"/>
      <c r="J56" s="277">
        <f t="shared" si="15"/>
        <v>0</v>
      </c>
      <c r="K56" s="278"/>
      <c r="L56" s="278"/>
      <c r="M56" s="278"/>
      <c r="N56" s="278"/>
      <c r="O56" s="277"/>
    </row>
    <row r="57" spans="1:16" ht="13.5" thickTop="1" thickBot="1">
      <c r="A57" s="852"/>
      <c r="B57" s="400" t="s">
        <v>96</v>
      </c>
      <c r="C57" s="499" t="s">
        <v>97</v>
      </c>
      <c r="D57" s="367">
        <f t="shared" si="14"/>
        <v>815</v>
      </c>
      <c r="E57" s="367"/>
      <c r="F57" s="367"/>
      <c r="G57" s="367"/>
      <c r="H57" s="329">
        <v>815</v>
      </c>
      <c r="I57" s="367"/>
      <c r="J57" s="265">
        <f t="shared" si="15"/>
        <v>729.97511999999995</v>
      </c>
      <c r="K57" s="265"/>
      <c r="L57" s="265"/>
      <c r="M57" s="265"/>
      <c r="N57" s="340">
        <v>729.97511999999995</v>
      </c>
      <c r="O57" s="265"/>
    </row>
    <row r="58" spans="1:16" ht="13.5" thickTop="1" thickBot="1">
      <c r="A58" s="852"/>
      <c r="B58" s="400" t="s">
        <v>98</v>
      </c>
      <c r="C58" s="499" t="s">
        <v>99</v>
      </c>
      <c r="D58" s="367">
        <f t="shared" si="14"/>
        <v>0</v>
      </c>
      <c r="E58" s="367"/>
      <c r="F58" s="367"/>
      <c r="G58" s="367"/>
      <c r="H58" s="323"/>
      <c r="I58" s="367"/>
      <c r="J58" s="265">
        <f t="shared" si="15"/>
        <v>0</v>
      </c>
      <c r="K58" s="265"/>
      <c r="L58" s="265"/>
      <c r="M58" s="265"/>
      <c r="N58" s="283"/>
      <c r="O58" s="265"/>
    </row>
    <row r="59" spans="1:16" ht="13.5" thickTop="1" thickBot="1">
      <c r="A59" s="852"/>
      <c r="B59" s="404" t="s">
        <v>171</v>
      </c>
      <c r="C59" s="501" t="s">
        <v>190</v>
      </c>
      <c r="D59" s="325">
        <f t="shared" si="14"/>
        <v>3000</v>
      </c>
      <c r="E59" s="339"/>
      <c r="F59" s="339">
        <v>2150</v>
      </c>
      <c r="G59" s="284"/>
      <c r="H59" s="339">
        <v>330</v>
      </c>
      <c r="I59" s="339">
        <v>520</v>
      </c>
      <c r="J59" s="581">
        <f t="shared" ref="J59:J106" si="16">SUM(K59:O59)</f>
        <v>2625.8409999999999</v>
      </c>
      <c r="K59" s="612"/>
      <c r="L59" s="700">
        <v>1508.0150000000001</v>
      </c>
      <c r="M59" s="477"/>
      <c r="N59" s="476">
        <f>478.366+22.746</f>
        <v>501.11199999999997</v>
      </c>
      <c r="O59" s="476">
        <f>483.036+133.678</f>
        <v>616.71399999999994</v>
      </c>
    </row>
    <row r="60" spans="1:16" ht="13.5" thickTop="1" thickBot="1">
      <c r="A60" s="852"/>
      <c r="B60" s="406" t="s">
        <v>172</v>
      </c>
      <c r="C60" s="486" t="s">
        <v>88</v>
      </c>
      <c r="D60" s="324">
        <f t="shared" si="14"/>
        <v>0</v>
      </c>
      <c r="E60" s="324"/>
      <c r="F60" s="324"/>
      <c r="G60" s="324"/>
      <c r="H60" s="324"/>
      <c r="I60" s="324"/>
      <c r="J60" s="196">
        <f t="shared" si="16"/>
        <v>0</v>
      </c>
      <c r="K60" s="196"/>
      <c r="L60" s="196"/>
      <c r="M60" s="196"/>
      <c r="N60" s="196"/>
      <c r="O60" s="196"/>
    </row>
    <row r="61" spans="1:16" ht="13.5" thickTop="1" thickBot="1">
      <c r="A61" s="852"/>
      <c r="B61" s="407"/>
      <c r="C61" s="502" t="s">
        <v>89</v>
      </c>
      <c r="D61" s="326">
        <f t="shared" si="14"/>
        <v>0</v>
      </c>
      <c r="E61" s="327"/>
      <c r="F61" s="327"/>
      <c r="G61" s="326"/>
      <c r="H61" s="326"/>
      <c r="I61" s="327"/>
      <c r="J61" s="209">
        <f t="shared" si="16"/>
        <v>0</v>
      </c>
      <c r="K61" s="210"/>
      <c r="L61" s="210"/>
      <c r="M61" s="209"/>
      <c r="N61" s="209"/>
      <c r="O61" s="210"/>
    </row>
    <row r="62" spans="1:16" ht="13.5" thickTop="1" thickBot="1">
      <c r="A62" s="852"/>
      <c r="B62" s="407"/>
      <c r="C62" s="502" t="s">
        <v>90</v>
      </c>
      <c r="D62" s="326">
        <f t="shared" si="14"/>
        <v>0</v>
      </c>
      <c r="E62" s="327"/>
      <c r="F62" s="327"/>
      <c r="G62" s="327"/>
      <c r="H62" s="326"/>
      <c r="I62" s="326"/>
      <c r="J62" s="209">
        <f t="shared" si="16"/>
        <v>0</v>
      </c>
      <c r="K62" s="210"/>
      <c r="L62" s="210"/>
      <c r="M62" s="210"/>
      <c r="N62" s="209"/>
      <c r="O62" s="209"/>
    </row>
    <row r="63" spans="1:16" ht="13.5" thickTop="1" thickBot="1">
      <c r="A63" s="852"/>
      <c r="B63" s="407"/>
      <c r="C63" s="502" t="s">
        <v>91</v>
      </c>
      <c r="D63" s="326">
        <f t="shared" si="14"/>
        <v>0</v>
      </c>
      <c r="E63" s="327"/>
      <c r="F63" s="327"/>
      <c r="G63" s="327"/>
      <c r="H63" s="327"/>
      <c r="I63" s="326"/>
      <c r="J63" s="209">
        <f t="shared" si="16"/>
        <v>0</v>
      </c>
      <c r="K63" s="210"/>
      <c r="L63" s="210"/>
      <c r="M63" s="210"/>
      <c r="N63" s="210"/>
      <c r="O63" s="209"/>
    </row>
    <row r="64" spans="1:16" ht="13.5" thickTop="1" thickBot="1">
      <c r="A64" s="852"/>
      <c r="B64" s="406" t="s">
        <v>173</v>
      </c>
      <c r="C64" s="486" t="s">
        <v>93</v>
      </c>
      <c r="D64" s="324">
        <f t="shared" si="14"/>
        <v>0</v>
      </c>
      <c r="E64" s="184"/>
      <c r="F64" s="432"/>
      <c r="G64" s="328"/>
      <c r="H64" s="328"/>
      <c r="I64" s="324"/>
      <c r="J64" s="196">
        <f t="shared" si="16"/>
        <v>0</v>
      </c>
      <c r="K64" s="432"/>
      <c r="L64" s="334"/>
      <c r="M64" s="211"/>
      <c r="N64" s="211"/>
      <c r="O64" s="196"/>
    </row>
    <row r="65" spans="1:15" ht="13.5" thickTop="1" thickBot="1">
      <c r="A65" s="852"/>
      <c r="B65" s="406" t="s">
        <v>174</v>
      </c>
      <c r="C65" s="486" t="s">
        <v>95</v>
      </c>
      <c r="D65" s="330">
        <f t="shared" si="14"/>
        <v>0</v>
      </c>
      <c r="E65" s="378"/>
      <c r="F65" s="326"/>
      <c r="G65" s="326"/>
      <c r="H65" s="326"/>
      <c r="I65" s="324"/>
      <c r="J65" s="213">
        <f t="shared" si="16"/>
        <v>0</v>
      </c>
      <c r="K65" s="319"/>
      <c r="L65" s="320"/>
      <c r="M65" s="209"/>
      <c r="N65" s="209"/>
      <c r="O65" s="196"/>
    </row>
    <row r="66" spans="1:15" ht="13.5" thickTop="1" thickBot="1">
      <c r="A66" s="852"/>
      <c r="B66" s="407"/>
      <c r="C66" s="502" t="s">
        <v>89</v>
      </c>
      <c r="D66" s="326">
        <f t="shared" si="14"/>
        <v>0</v>
      </c>
      <c r="E66" s="327"/>
      <c r="F66" s="327"/>
      <c r="G66" s="326"/>
      <c r="H66" s="326"/>
      <c r="I66" s="327"/>
      <c r="J66" s="209">
        <f t="shared" si="16"/>
        <v>0</v>
      </c>
      <c r="K66" s="210"/>
      <c r="L66" s="210"/>
      <c r="M66" s="209"/>
      <c r="N66" s="209"/>
      <c r="O66" s="210"/>
    </row>
    <row r="67" spans="1:15" ht="13.5" thickTop="1" thickBot="1">
      <c r="A67" s="852"/>
      <c r="B67" s="407"/>
      <c r="C67" s="502" t="s">
        <v>90</v>
      </c>
      <c r="D67" s="326">
        <f t="shared" si="14"/>
        <v>0</v>
      </c>
      <c r="E67" s="327"/>
      <c r="F67" s="327"/>
      <c r="G67" s="327"/>
      <c r="H67" s="326"/>
      <c r="I67" s="326"/>
      <c r="J67" s="209">
        <f t="shared" si="16"/>
        <v>0</v>
      </c>
      <c r="K67" s="210"/>
      <c r="L67" s="210"/>
      <c r="M67" s="210"/>
      <c r="N67" s="209"/>
      <c r="O67" s="209"/>
    </row>
    <row r="68" spans="1:15" ht="13.5" thickTop="1" thickBot="1">
      <c r="A68" s="852"/>
      <c r="B68" s="407"/>
      <c r="C68" s="502" t="s">
        <v>91</v>
      </c>
      <c r="D68" s="326">
        <f t="shared" si="14"/>
        <v>0</v>
      </c>
      <c r="E68" s="327"/>
      <c r="F68" s="327"/>
      <c r="G68" s="327"/>
      <c r="H68" s="327"/>
      <c r="I68" s="326"/>
      <c r="J68" s="209">
        <f t="shared" si="16"/>
        <v>0</v>
      </c>
      <c r="K68" s="210"/>
      <c r="L68" s="210"/>
      <c r="M68" s="210"/>
      <c r="N68" s="210"/>
      <c r="O68" s="209"/>
    </row>
    <row r="69" spans="1:15" ht="13.5" thickTop="1" thickBot="1">
      <c r="A69" s="852"/>
      <c r="B69" s="406" t="s">
        <v>176</v>
      </c>
      <c r="C69" s="486" t="s">
        <v>97</v>
      </c>
      <c r="D69" s="324">
        <f t="shared" si="14"/>
        <v>0</v>
      </c>
      <c r="E69" s="324"/>
      <c r="F69" s="324"/>
      <c r="G69" s="324"/>
      <c r="H69" s="323"/>
      <c r="I69" s="324"/>
      <c r="J69" s="196">
        <f t="shared" si="16"/>
        <v>0</v>
      </c>
      <c r="K69" s="196"/>
      <c r="L69" s="196"/>
      <c r="M69" s="196"/>
      <c r="N69" s="185"/>
      <c r="O69" s="196"/>
    </row>
    <row r="70" spans="1:15" ht="13.5" thickTop="1" thickBot="1">
      <c r="A70" s="852"/>
      <c r="B70" s="406" t="s">
        <v>175</v>
      </c>
      <c r="C70" s="486" t="s">
        <v>99</v>
      </c>
      <c r="D70" s="324">
        <f t="shared" si="14"/>
        <v>0</v>
      </c>
      <c r="E70" s="324"/>
      <c r="F70" s="324"/>
      <c r="G70" s="324"/>
      <c r="H70" s="323"/>
      <c r="I70" s="324"/>
      <c r="J70" s="196">
        <f t="shared" si="16"/>
        <v>0</v>
      </c>
      <c r="K70" s="196"/>
      <c r="L70" s="196"/>
      <c r="M70" s="196"/>
      <c r="N70" s="185"/>
      <c r="O70" s="196"/>
    </row>
    <row r="71" spans="1:15" ht="13.5" thickTop="1" thickBot="1">
      <c r="A71" s="852"/>
      <c r="B71" s="404" t="s">
        <v>177</v>
      </c>
      <c r="C71" s="501" t="s">
        <v>203</v>
      </c>
      <c r="D71" s="325">
        <f t="shared" si="14"/>
        <v>6610</v>
      </c>
      <c r="E71" s="284"/>
      <c r="F71" s="284"/>
      <c r="G71" s="339">
        <v>3310</v>
      </c>
      <c r="H71" s="339">
        <v>3300</v>
      </c>
      <c r="I71" s="284"/>
      <c r="J71" s="206">
        <f t="shared" si="16"/>
        <v>6250.1840000000002</v>
      </c>
      <c r="K71" s="284"/>
      <c r="L71" s="284"/>
      <c r="M71" s="698">
        <v>3609.7640000000001</v>
      </c>
      <c r="N71" s="698">
        <v>2640.42</v>
      </c>
      <c r="O71" s="214"/>
    </row>
    <row r="72" spans="1:15" ht="13.5" thickTop="1" thickBot="1">
      <c r="A72" s="852"/>
      <c r="B72" s="406" t="s">
        <v>178</v>
      </c>
      <c r="C72" s="486" t="s">
        <v>88</v>
      </c>
      <c r="D72" s="324">
        <f t="shared" si="14"/>
        <v>0</v>
      </c>
      <c r="E72" s="324"/>
      <c r="F72" s="324"/>
      <c r="G72" s="324"/>
      <c r="H72" s="324"/>
      <c r="I72" s="324"/>
      <c r="J72" s="196">
        <f t="shared" si="16"/>
        <v>0</v>
      </c>
      <c r="K72" s="196"/>
      <c r="L72" s="196"/>
      <c r="M72" s="196"/>
      <c r="N72" s="196"/>
      <c r="O72" s="196"/>
    </row>
    <row r="73" spans="1:15" ht="13.5" thickTop="1" thickBot="1">
      <c r="A73" s="852"/>
      <c r="B73" s="407"/>
      <c r="C73" s="502" t="s">
        <v>89</v>
      </c>
      <c r="D73" s="326">
        <f t="shared" si="14"/>
        <v>3253</v>
      </c>
      <c r="E73" s="327"/>
      <c r="F73" s="327"/>
      <c r="G73" s="602">
        <f>G71-G78</f>
        <v>978</v>
      </c>
      <c r="H73" s="602">
        <f>H71-H78</f>
        <v>2275</v>
      </c>
      <c r="I73" s="327"/>
      <c r="J73" s="209">
        <f t="shared" si="16"/>
        <v>2658.6540000000005</v>
      </c>
      <c r="K73" s="210"/>
      <c r="L73" s="210"/>
      <c r="M73" s="602">
        <f>M71-M78</f>
        <v>842.10400000000027</v>
      </c>
      <c r="N73" s="602">
        <f>N71-N78</f>
        <v>1816.5500000000002</v>
      </c>
      <c r="O73" s="210"/>
    </row>
    <row r="74" spans="1:15" ht="13.5" thickTop="1" thickBot="1">
      <c r="A74" s="852"/>
      <c r="B74" s="407"/>
      <c r="C74" s="502" t="s">
        <v>90</v>
      </c>
      <c r="D74" s="326">
        <f t="shared" si="14"/>
        <v>0</v>
      </c>
      <c r="E74" s="327"/>
      <c r="F74" s="327"/>
      <c r="G74" s="327"/>
      <c r="H74" s="326"/>
      <c r="I74" s="326"/>
      <c r="J74" s="209">
        <f t="shared" si="16"/>
        <v>0</v>
      </c>
      <c r="K74" s="210"/>
      <c r="L74" s="210"/>
      <c r="M74" s="210"/>
      <c r="N74" s="209"/>
      <c r="O74" s="209"/>
    </row>
    <row r="75" spans="1:15" ht="13.5" thickTop="1" thickBot="1">
      <c r="A75" s="852"/>
      <c r="B75" s="407"/>
      <c r="C75" s="502" t="s">
        <v>91</v>
      </c>
      <c r="D75" s="326">
        <f t="shared" si="14"/>
        <v>0</v>
      </c>
      <c r="E75" s="327"/>
      <c r="F75" s="327"/>
      <c r="G75" s="327"/>
      <c r="H75" s="327"/>
      <c r="I75" s="326"/>
      <c r="J75" s="209">
        <f t="shared" si="16"/>
        <v>0</v>
      </c>
      <c r="K75" s="210"/>
      <c r="L75" s="210"/>
      <c r="M75" s="210"/>
      <c r="N75" s="210"/>
      <c r="O75" s="209"/>
    </row>
    <row r="76" spans="1:15" ht="13.5" thickTop="1" thickBot="1">
      <c r="A76" s="852"/>
      <c r="B76" s="406" t="s">
        <v>179</v>
      </c>
      <c r="C76" s="486" t="s">
        <v>93</v>
      </c>
      <c r="D76" s="324">
        <f t="shared" si="14"/>
        <v>0</v>
      </c>
      <c r="E76" s="324"/>
      <c r="F76" s="324"/>
      <c r="G76" s="328"/>
      <c r="H76" s="328"/>
      <c r="I76" s="324"/>
      <c r="J76" s="196">
        <f t="shared" si="16"/>
        <v>0</v>
      </c>
      <c r="K76" s="196"/>
      <c r="L76" s="196"/>
      <c r="M76" s="211"/>
      <c r="N76" s="211"/>
      <c r="O76" s="196"/>
    </row>
    <row r="77" spans="1:15" ht="13.5" thickTop="1" thickBot="1">
      <c r="A77" s="852"/>
      <c r="B77" s="406" t="s">
        <v>180</v>
      </c>
      <c r="C77" s="486" t="s">
        <v>95</v>
      </c>
      <c r="D77" s="330">
        <f t="shared" si="14"/>
        <v>0</v>
      </c>
      <c r="E77" s="380"/>
      <c r="F77" s="326"/>
      <c r="G77" s="602"/>
      <c r="H77" s="602"/>
      <c r="I77" s="324"/>
      <c r="J77" s="213">
        <f t="shared" si="16"/>
        <v>0</v>
      </c>
      <c r="K77" s="383"/>
      <c r="L77" s="209"/>
      <c r="M77" s="320"/>
      <c r="N77" s="320"/>
      <c r="O77" s="196"/>
    </row>
    <row r="78" spans="1:15" ht="13.5" thickTop="1" thickBot="1">
      <c r="A78" s="852"/>
      <c r="B78" s="407"/>
      <c r="C78" s="502" t="s">
        <v>89</v>
      </c>
      <c r="D78" s="326">
        <f t="shared" si="14"/>
        <v>3357</v>
      </c>
      <c r="E78" s="327"/>
      <c r="F78" s="327"/>
      <c r="G78" s="602">
        <v>2332</v>
      </c>
      <c r="H78" s="602">
        <f>40+985</f>
        <v>1025</v>
      </c>
      <c r="I78" s="327"/>
      <c r="J78" s="209">
        <f t="shared" si="16"/>
        <v>3591.5299999999997</v>
      </c>
      <c r="K78" s="210"/>
      <c r="L78" s="210"/>
      <c r="M78" s="320">
        <v>2767.66</v>
      </c>
      <c r="N78" s="320">
        <v>823.87</v>
      </c>
      <c r="O78" s="210"/>
    </row>
    <row r="79" spans="1:15" ht="13.5" thickTop="1" thickBot="1">
      <c r="A79" s="852"/>
      <c r="B79" s="407"/>
      <c r="C79" s="502" t="s">
        <v>90</v>
      </c>
      <c r="D79" s="326">
        <f t="shared" si="14"/>
        <v>0</v>
      </c>
      <c r="E79" s="327"/>
      <c r="F79" s="327"/>
      <c r="G79" s="327"/>
      <c r="H79" s="326"/>
      <c r="I79" s="326"/>
      <c r="J79" s="209">
        <f t="shared" si="16"/>
        <v>0</v>
      </c>
      <c r="K79" s="210"/>
      <c r="L79" s="210"/>
      <c r="M79" s="210"/>
      <c r="N79" s="209"/>
      <c r="O79" s="209"/>
    </row>
    <row r="80" spans="1:15" ht="13.5" thickTop="1" thickBot="1">
      <c r="A80" s="852"/>
      <c r="B80" s="407"/>
      <c r="C80" s="502" t="s">
        <v>91</v>
      </c>
      <c r="D80" s="326">
        <f t="shared" si="14"/>
        <v>0</v>
      </c>
      <c r="E80" s="327"/>
      <c r="F80" s="327"/>
      <c r="G80" s="327"/>
      <c r="H80" s="327"/>
      <c r="I80" s="326"/>
      <c r="J80" s="209">
        <f t="shared" si="16"/>
        <v>0</v>
      </c>
      <c r="K80" s="210"/>
      <c r="L80" s="210"/>
      <c r="M80" s="210"/>
      <c r="N80" s="210"/>
      <c r="O80" s="209"/>
    </row>
    <row r="81" spans="1:15" ht="13.5" thickTop="1" thickBot="1">
      <c r="A81" s="852"/>
      <c r="B81" s="406" t="s">
        <v>181</v>
      </c>
      <c r="C81" s="486" t="s">
        <v>97</v>
      </c>
      <c r="D81" s="324">
        <f t="shared" si="14"/>
        <v>0</v>
      </c>
      <c r="E81" s="324"/>
      <c r="F81" s="324"/>
      <c r="G81" s="324"/>
      <c r="H81" s="323"/>
      <c r="I81" s="324"/>
      <c r="J81" s="196">
        <f t="shared" si="16"/>
        <v>0</v>
      </c>
      <c r="K81" s="196"/>
      <c r="L81" s="196"/>
      <c r="M81" s="196"/>
      <c r="N81" s="185"/>
      <c r="O81" s="196"/>
    </row>
    <row r="82" spans="1:15" ht="13.5" thickTop="1" thickBot="1">
      <c r="A82" s="852"/>
      <c r="B82" s="406" t="s">
        <v>182</v>
      </c>
      <c r="C82" s="486" t="s">
        <v>99</v>
      </c>
      <c r="D82" s="324">
        <f t="shared" si="14"/>
        <v>0</v>
      </c>
      <c r="E82" s="324"/>
      <c r="F82" s="324"/>
      <c r="G82" s="324"/>
      <c r="H82" s="323"/>
      <c r="I82" s="324"/>
      <c r="J82" s="196">
        <f t="shared" si="16"/>
        <v>0</v>
      </c>
      <c r="K82" s="196"/>
      <c r="L82" s="196"/>
      <c r="M82" s="196"/>
      <c r="N82" s="185"/>
      <c r="O82" s="196"/>
    </row>
    <row r="83" spans="1:15" ht="13.5" thickTop="1" thickBot="1">
      <c r="A83" s="852"/>
      <c r="B83" s="404" t="s">
        <v>183</v>
      </c>
      <c r="C83" s="501" t="s">
        <v>189</v>
      </c>
      <c r="D83" s="325">
        <f t="shared" si="14"/>
        <v>70910</v>
      </c>
      <c r="E83" s="284"/>
      <c r="F83" s="339">
        <v>70910</v>
      </c>
      <c r="G83" s="284"/>
      <c r="H83" s="284"/>
      <c r="I83" s="284"/>
      <c r="J83" s="196">
        <f t="shared" si="16"/>
        <v>67247.383000000002</v>
      </c>
      <c r="K83" s="196"/>
      <c r="L83" s="411">
        <v>67247.383000000002</v>
      </c>
      <c r="M83" s="196"/>
      <c r="N83" s="185"/>
      <c r="O83" s="196"/>
    </row>
    <row r="84" spans="1:15" ht="13.5" thickTop="1" thickBot="1">
      <c r="A84" s="852"/>
      <c r="B84" s="406" t="s">
        <v>184</v>
      </c>
      <c r="C84" s="486" t="s">
        <v>88</v>
      </c>
      <c r="D84" s="324">
        <f t="shared" si="14"/>
        <v>0</v>
      </c>
      <c r="E84" s="324"/>
      <c r="F84" s="324"/>
      <c r="G84" s="324"/>
      <c r="H84" s="324"/>
      <c r="I84" s="324"/>
      <c r="J84" s="196">
        <f t="shared" si="16"/>
        <v>0</v>
      </c>
      <c r="K84" s="196"/>
      <c r="L84" s="196"/>
      <c r="M84" s="196"/>
      <c r="N84" s="196"/>
      <c r="O84" s="196"/>
    </row>
    <row r="85" spans="1:15" ht="13.5" thickTop="1" thickBot="1">
      <c r="A85" s="852"/>
      <c r="B85" s="407"/>
      <c r="C85" s="502" t="s">
        <v>89</v>
      </c>
      <c r="D85" s="326">
        <f t="shared" si="14"/>
        <v>0</v>
      </c>
      <c r="E85" s="327"/>
      <c r="F85" s="327"/>
      <c r="G85" s="326"/>
      <c r="H85" s="326"/>
      <c r="I85" s="327"/>
      <c r="J85" s="209">
        <f t="shared" si="16"/>
        <v>0</v>
      </c>
      <c r="K85" s="210"/>
      <c r="L85" s="210"/>
      <c r="M85" s="209"/>
      <c r="N85" s="209"/>
      <c r="O85" s="210"/>
    </row>
    <row r="86" spans="1:15" ht="13.5" thickTop="1" thickBot="1">
      <c r="A86" s="852"/>
      <c r="B86" s="407"/>
      <c r="C86" s="502" t="s">
        <v>90</v>
      </c>
      <c r="D86" s="326">
        <f t="shared" si="14"/>
        <v>0</v>
      </c>
      <c r="E86" s="327"/>
      <c r="F86" s="327"/>
      <c r="G86" s="327"/>
      <c r="H86" s="326"/>
      <c r="I86" s="326"/>
      <c r="J86" s="209">
        <f t="shared" si="16"/>
        <v>0</v>
      </c>
      <c r="K86" s="210"/>
      <c r="L86" s="210"/>
      <c r="M86" s="210"/>
      <c r="N86" s="209"/>
      <c r="O86" s="209"/>
    </row>
    <row r="87" spans="1:15" ht="13.5" thickTop="1" thickBot="1">
      <c r="A87" s="852"/>
      <c r="B87" s="407"/>
      <c r="C87" s="502" t="s">
        <v>91</v>
      </c>
      <c r="D87" s="326">
        <f t="shared" si="14"/>
        <v>0</v>
      </c>
      <c r="E87" s="327"/>
      <c r="F87" s="327"/>
      <c r="G87" s="327"/>
      <c r="H87" s="327"/>
      <c r="I87" s="326"/>
      <c r="J87" s="209">
        <f t="shared" si="16"/>
        <v>0</v>
      </c>
      <c r="K87" s="210"/>
      <c r="L87" s="210"/>
      <c r="M87" s="210"/>
      <c r="N87" s="210"/>
      <c r="O87" s="209"/>
    </row>
    <row r="88" spans="1:15" ht="13.5" thickTop="1" thickBot="1">
      <c r="A88" s="852"/>
      <c r="B88" s="406" t="s">
        <v>185</v>
      </c>
      <c r="C88" s="486" t="s">
        <v>93</v>
      </c>
      <c r="D88" s="324">
        <f t="shared" si="14"/>
        <v>0</v>
      </c>
      <c r="E88" s="324"/>
      <c r="F88" s="324"/>
      <c r="G88" s="328"/>
      <c r="H88" s="328"/>
      <c r="I88" s="324"/>
      <c r="J88" s="196">
        <f t="shared" si="16"/>
        <v>0</v>
      </c>
      <c r="K88" s="196"/>
      <c r="L88" s="196"/>
      <c r="M88" s="211"/>
      <c r="N88" s="211"/>
      <c r="O88" s="196"/>
    </row>
    <row r="89" spans="1:15" ht="13.5" thickTop="1" thickBot="1">
      <c r="A89" s="852"/>
      <c r="B89" s="406" t="s">
        <v>186</v>
      </c>
      <c r="C89" s="486" t="s">
        <v>95</v>
      </c>
      <c r="D89" s="330">
        <f t="shared" si="14"/>
        <v>27921</v>
      </c>
      <c r="E89" s="380"/>
      <c r="F89" s="331">
        <v>27921</v>
      </c>
      <c r="G89" s="326"/>
      <c r="H89" s="326"/>
      <c r="I89" s="324"/>
      <c r="J89" s="213">
        <f t="shared" si="16"/>
        <v>28520.800000000003</v>
      </c>
      <c r="K89" s="319"/>
      <c r="L89" s="320">
        <v>28520.800000000003</v>
      </c>
      <c r="M89" s="209"/>
      <c r="N89" s="209"/>
      <c r="O89" s="196"/>
    </row>
    <row r="90" spans="1:15" ht="13.5" thickTop="1" thickBot="1">
      <c r="A90" s="852"/>
      <c r="B90" s="407"/>
      <c r="C90" s="502" t="s">
        <v>89</v>
      </c>
      <c r="D90" s="326">
        <f t="shared" si="14"/>
        <v>0</v>
      </c>
      <c r="E90" s="327"/>
      <c r="F90" s="327"/>
      <c r="G90" s="326"/>
      <c r="H90" s="326"/>
      <c r="I90" s="327"/>
      <c r="J90" s="209">
        <f t="shared" si="16"/>
        <v>0</v>
      </c>
      <c r="K90" s="210"/>
      <c r="L90" s="210"/>
      <c r="M90" s="209"/>
      <c r="N90" s="209"/>
      <c r="O90" s="210"/>
    </row>
    <row r="91" spans="1:15" ht="13.5" thickTop="1" thickBot="1">
      <c r="A91" s="852"/>
      <c r="B91" s="407"/>
      <c r="C91" s="502" t="s">
        <v>90</v>
      </c>
      <c r="D91" s="326">
        <f t="shared" si="14"/>
        <v>0</v>
      </c>
      <c r="E91" s="327"/>
      <c r="F91" s="327"/>
      <c r="G91" s="327"/>
      <c r="H91" s="326"/>
      <c r="I91" s="326"/>
      <c r="J91" s="209">
        <f t="shared" si="16"/>
        <v>0</v>
      </c>
      <c r="K91" s="210"/>
      <c r="L91" s="210"/>
      <c r="M91" s="210"/>
      <c r="N91" s="209"/>
      <c r="O91" s="209"/>
    </row>
    <row r="92" spans="1:15" ht="13.5" thickTop="1" thickBot="1">
      <c r="A92" s="852"/>
      <c r="B92" s="516"/>
      <c r="C92" s="517" t="s">
        <v>91</v>
      </c>
      <c r="D92" s="326">
        <f t="shared" si="14"/>
        <v>0</v>
      </c>
      <c r="E92" s="327"/>
      <c r="F92" s="327"/>
      <c r="G92" s="327"/>
      <c r="H92" s="327"/>
      <c r="I92" s="326"/>
      <c r="J92" s="209">
        <f t="shared" si="16"/>
        <v>0</v>
      </c>
      <c r="K92" s="210"/>
      <c r="L92" s="210"/>
      <c r="M92" s="210"/>
      <c r="N92" s="210"/>
      <c r="O92" s="209"/>
    </row>
    <row r="93" spans="1:15" ht="13.5" thickTop="1" thickBot="1">
      <c r="A93" s="852"/>
      <c r="B93" s="514" t="s">
        <v>187</v>
      </c>
      <c r="C93" s="515" t="s">
        <v>97</v>
      </c>
      <c r="D93" s="324">
        <f t="shared" si="14"/>
        <v>0</v>
      </c>
      <c r="E93" s="324"/>
      <c r="F93" s="324"/>
      <c r="G93" s="324"/>
      <c r="H93" s="323"/>
      <c r="I93" s="324"/>
      <c r="J93" s="196">
        <f t="shared" si="16"/>
        <v>0</v>
      </c>
      <c r="K93" s="196"/>
      <c r="L93" s="196"/>
      <c r="M93" s="196"/>
      <c r="N93" s="196"/>
      <c r="O93" s="196"/>
    </row>
    <row r="94" spans="1:15" ht="13.5" thickTop="1" thickBot="1">
      <c r="A94" s="852"/>
      <c r="B94" s="406" t="s">
        <v>188</v>
      </c>
      <c r="C94" s="486" t="s">
        <v>99</v>
      </c>
      <c r="D94" s="324">
        <f t="shared" si="14"/>
        <v>0</v>
      </c>
      <c r="E94" s="324"/>
      <c r="F94" s="324"/>
      <c r="G94" s="324"/>
      <c r="H94" s="323"/>
      <c r="I94" s="324"/>
      <c r="J94" s="196">
        <f t="shared" si="16"/>
        <v>0</v>
      </c>
      <c r="K94" s="196"/>
      <c r="L94" s="196"/>
      <c r="M94" s="196"/>
      <c r="N94" s="185"/>
      <c r="O94" s="196"/>
    </row>
    <row r="95" spans="1:15" ht="13.5" thickTop="1" thickBot="1">
      <c r="A95" s="852"/>
      <c r="B95" s="204" t="s">
        <v>197</v>
      </c>
      <c r="C95" s="595" t="s">
        <v>204</v>
      </c>
      <c r="D95" s="325">
        <f t="shared" ref="D95:D106" si="17">SUM(E95:I95)</f>
        <v>5190</v>
      </c>
      <c r="E95" s="284"/>
      <c r="F95" s="325"/>
      <c r="G95" s="284"/>
      <c r="H95" s="339">
        <v>5190</v>
      </c>
      <c r="I95" s="284"/>
      <c r="J95" s="206">
        <f t="shared" si="16"/>
        <v>2264.4859999999999</v>
      </c>
      <c r="K95" s="284"/>
      <c r="L95" s="325"/>
      <c r="M95" s="214"/>
      <c r="N95" s="339">
        <v>2264.4859999999999</v>
      </c>
      <c r="O95" s="214"/>
    </row>
    <row r="96" spans="1:15" ht="13.5" thickTop="1" thickBot="1">
      <c r="A96" s="852"/>
      <c r="B96" s="182" t="s">
        <v>198</v>
      </c>
      <c r="C96" s="182" t="s">
        <v>88</v>
      </c>
      <c r="D96" s="324">
        <f t="shared" si="17"/>
        <v>0</v>
      </c>
      <c r="E96" s="324"/>
      <c r="F96" s="324"/>
      <c r="G96" s="324"/>
      <c r="H96" s="324"/>
      <c r="I96" s="324"/>
      <c r="J96" s="196">
        <f t="shared" si="16"/>
        <v>0</v>
      </c>
      <c r="K96" s="196"/>
      <c r="L96" s="196"/>
      <c r="M96" s="196"/>
      <c r="N96" s="196"/>
      <c r="O96" s="196"/>
    </row>
    <row r="97" spans="1:15" ht="13.5" thickTop="1" thickBot="1">
      <c r="A97" s="852"/>
      <c r="B97" s="207"/>
      <c r="C97" s="208" t="s">
        <v>89</v>
      </c>
      <c r="D97" s="326">
        <f t="shared" si="17"/>
        <v>1980</v>
      </c>
      <c r="E97" s="327"/>
      <c r="F97" s="327"/>
      <c r="G97" s="326"/>
      <c r="H97" s="339">
        <v>1980</v>
      </c>
      <c r="I97" s="327"/>
      <c r="J97" s="209">
        <f t="shared" si="16"/>
        <v>0</v>
      </c>
      <c r="K97" s="210"/>
      <c r="L97" s="210"/>
      <c r="M97" s="209"/>
      <c r="N97" s="209"/>
      <c r="O97" s="210"/>
    </row>
    <row r="98" spans="1:15" ht="13.5" thickTop="1" thickBot="1">
      <c r="A98" s="852"/>
      <c r="B98" s="207"/>
      <c r="C98" s="208" t="s">
        <v>90</v>
      </c>
      <c r="D98" s="326">
        <f t="shared" si="17"/>
        <v>1840</v>
      </c>
      <c r="E98" s="327"/>
      <c r="F98" s="327"/>
      <c r="G98" s="327"/>
      <c r="H98" s="339">
        <v>1840</v>
      </c>
      <c r="I98" s="326"/>
      <c r="J98" s="209">
        <f t="shared" si="16"/>
        <v>823.41</v>
      </c>
      <c r="K98" s="210"/>
      <c r="L98" s="210"/>
      <c r="M98" s="210"/>
      <c r="N98" s="699">
        <v>823.41</v>
      </c>
      <c r="O98" s="209"/>
    </row>
    <row r="99" spans="1:15" ht="13.5" thickTop="1" thickBot="1">
      <c r="A99" s="852"/>
      <c r="B99" s="207"/>
      <c r="C99" s="208" t="s">
        <v>91</v>
      </c>
      <c r="D99" s="326">
        <f t="shared" si="17"/>
        <v>0</v>
      </c>
      <c r="E99" s="327"/>
      <c r="F99" s="327"/>
      <c r="G99" s="327"/>
      <c r="H99" s="327"/>
      <c r="I99" s="326"/>
      <c r="J99" s="209">
        <f t="shared" si="16"/>
        <v>0</v>
      </c>
      <c r="K99" s="210"/>
      <c r="L99" s="210"/>
      <c r="M99" s="210"/>
      <c r="N99" s="210"/>
      <c r="O99" s="209"/>
    </row>
    <row r="100" spans="1:15" ht="13.5" thickTop="1" thickBot="1">
      <c r="A100" s="852"/>
      <c r="B100" s="182" t="s">
        <v>199</v>
      </c>
      <c r="C100" s="182" t="s">
        <v>93</v>
      </c>
      <c r="D100" s="324">
        <f t="shared" si="17"/>
        <v>0</v>
      </c>
      <c r="E100" s="324"/>
      <c r="F100" s="324"/>
      <c r="G100" s="328"/>
      <c r="H100" s="328"/>
      <c r="I100" s="324"/>
      <c r="J100" s="196">
        <f t="shared" si="16"/>
        <v>0</v>
      </c>
      <c r="K100" s="196"/>
      <c r="L100" s="196"/>
      <c r="M100" s="211"/>
      <c r="N100" s="211"/>
      <c r="O100" s="196"/>
    </row>
    <row r="101" spans="1:15" ht="13.5" thickTop="1" thickBot="1">
      <c r="A101" s="852"/>
      <c r="B101" s="182" t="s">
        <v>200</v>
      </c>
      <c r="C101" s="182" t="s">
        <v>95</v>
      </c>
      <c r="D101" s="330">
        <f t="shared" si="17"/>
        <v>0</v>
      </c>
      <c r="E101" s="380"/>
      <c r="F101" s="331"/>
      <c r="G101" s="326"/>
      <c r="H101" s="326"/>
      <c r="I101" s="324"/>
      <c r="J101" s="213">
        <f t="shared" si="16"/>
        <v>0</v>
      </c>
      <c r="K101" s="383"/>
      <c r="L101" s="320"/>
      <c r="M101" s="209"/>
      <c r="N101" s="209"/>
      <c r="O101" s="196"/>
    </row>
    <row r="102" spans="1:15" ht="13.5" thickTop="1" thickBot="1">
      <c r="A102" s="852"/>
      <c r="B102" s="207"/>
      <c r="C102" s="208" t="s">
        <v>89</v>
      </c>
      <c r="D102" s="326">
        <f t="shared" si="17"/>
        <v>0</v>
      </c>
      <c r="E102" s="327"/>
      <c r="F102" s="327"/>
      <c r="G102" s="326"/>
      <c r="H102" s="326"/>
      <c r="I102" s="327"/>
      <c r="J102" s="209">
        <f t="shared" si="16"/>
        <v>0</v>
      </c>
      <c r="K102" s="210"/>
      <c r="L102" s="210"/>
      <c r="M102" s="209"/>
      <c r="N102" s="209"/>
      <c r="O102" s="210"/>
    </row>
    <row r="103" spans="1:15" ht="13.5" thickTop="1" thickBot="1">
      <c r="A103" s="852"/>
      <c r="B103" s="207"/>
      <c r="C103" s="208" t="s">
        <v>90</v>
      </c>
      <c r="D103" s="326">
        <f t="shared" si="17"/>
        <v>0</v>
      </c>
      <c r="E103" s="327"/>
      <c r="F103" s="327"/>
      <c r="G103" s="327"/>
      <c r="H103" s="326"/>
      <c r="I103" s="326"/>
      <c r="J103" s="209">
        <f t="shared" si="16"/>
        <v>0</v>
      </c>
      <c r="K103" s="210"/>
      <c r="L103" s="210"/>
      <c r="M103" s="210"/>
      <c r="N103" s="209"/>
      <c r="O103" s="209"/>
    </row>
    <row r="104" spans="1:15" ht="13.5" thickTop="1" thickBot="1">
      <c r="A104" s="852"/>
      <c r="B104" s="207"/>
      <c r="C104" s="208" t="s">
        <v>91</v>
      </c>
      <c r="D104" s="326">
        <f t="shared" si="17"/>
        <v>0</v>
      </c>
      <c r="E104" s="327"/>
      <c r="F104" s="327"/>
      <c r="G104" s="327"/>
      <c r="H104" s="327"/>
      <c r="I104" s="326"/>
      <c r="J104" s="209">
        <f t="shared" si="16"/>
        <v>0</v>
      </c>
      <c r="K104" s="210"/>
      <c r="L104" s="210"/>
      <c r="M104" s="210"/>
      <c r="N104" s="210"/>
      <c r="O104" s="209"/>
    </row>
    <row r="105" spans="1:15" ht="13.5" thickTop="1" thickBot="1">
      <c r="A105" s="852"/>
      <c r="B105" s="182" t="s">
        <v>201</v>
      </c>
      <c r="C105" s="182" t="s">
        <v>97</v>
      </c>
      <c r="D105" s="324">
        <f t="shared" si="17"/>
        <v>0</v>
      </c>
      <c r="E105" s="324"/>
      <c r="F105" s="324"/>
      <c r="G105" s="324"/>
      <c r="H105" s="324"/>
      <c r="I105" s="324"/>
      <c r="J105" s="196">
        <f t="shared" si="16"/>
        <v>0</v>
      </c>
      <c r="K105" s="196"/>
      <c r="L105" s="196"/>
      <c r="M105" s="196"/>
      <c r="N105" s="185"/>
      <c r="O105" s="196"/>
    </row>
    <row r="106" spans="1:15" ht="13.5" thickTop="1" thickBot="1">
      <c r="A106" s="852"/>
      <c r="B106" s="182" t="s">
        <v>202</v>
      </c>
      <c r="C106" s="182" t="s">
        <v>99</v>
      </c>
      <c r="D106" s="324">
        <f t="shared" si="17"/>
        <v>0</v>
      </c>
      <c r="E106" s="324"/>
      <c r="F106" s="324"/>
      <c r="G106" s="324"/>
      <c r="H106" s="323"/>
      <c r="I106" s="324"/>
      <c r="J106" s="196">
        <f t="shared" si="16"/>
        <v>0</v>
      </c>
      <c r="K106" s="196"/>
      <c r="L106" s="196"/>
      <c r="M106" s="196"/>
      <c r="N106" s="196"/>
      <c r="O106" s="196"/>
    </row>
    <row r="107" spans="1:15" ht="13.5" thickTop="1" thickBot="1">
      <c r="A107" s="852"/>
      <c r="B107" s="204" t="s">
        <v>234</v>
      </c>
      <c r="C107" s="595" t="s">
        <v>235</v>
      </c>
      <c r="D107" s="325">
        <f t="shared" ref="D107:D118" si="18">SUM(E107:I107)</f>
        <v>0</v>
      </c>
      <c r="E107" s="284"/>
      <c r="F107" s="325"/>
      <c r="G107" s="284"/>
      <c r="H107" s="339"/>
      <c r="I107" s="284"/>
      <c r="J107" s="206">
        <f t="shared" ref="J107:J118" si="19">SUM(K107:O107)</f>
        <v>527.55700000000002</v>
      </c>
      <c r="K107" s="284"/>
      <c r="L107" s="325"/>
      <c r="M107" s="214"/>
      <c r="N107" s="339">
        <v>527.55700000000002</v>
      </c>
      <c r="O107" s="214"/>
    </row>
    <row r="108" spans="1:15" ht="13.5" thickTop="1" thickBot="1">
      <c r="A108" s="852"/>
      <c r="B108" s="182" t="s">
        <v>236</v>
      </c>
      <c r="C108" s="182" t="s">
        <v>88</v>
      </c>
      <c r="D108" s="324">
        <f t="shared" si="18"/>
        <v>0</v>
      </c>
      <c r="E108" s="324"/>
      <c r="F108" s="324"/>
      <c r="G108" s="324"/>
      <c r="H108" s="324"/>
      <c r="I108" s="324"/>
      <c r="J108" s="196">
        <f t="shared" si="19"/>
        <v>0</v>
      </c>
      <c r="K108" s="196"/>
      <c r="L108" s="196"/>
      <c r="M108" s="196"/>
      <c r="N108" s="196"/>
      <c r="O108" s="196"/>
    </row>
    <row r="109" spans="1:15" ht="13.5" thickTop="1" thickBot="1">
      <c r="A109" s="852"/>
      <c r="B109" s="207"/>
      <c r="C109" s="208" t="s">
        <v>89</v>
      </c>
      <c r="D109" s="326">
        <f t="shared" si="18"/>
        <v>0</v>
      </c>
      <c r="E109" s="327"/>
      <c r="F109" s="327"/>
      <c r="G109" s="326"/>
      <c r="H109" s="339"/>
      <c r="I109" s="327"/>
      <c r="J109" s="209">
        <f t="shared" si="19"/>
        <v>527.55700000000002</v>
      </c>
      <c r="K109" s="210"/>
      <c r="L109" s="210"/>
      <c r="M109" s="209"/>
      <c r="N109" s="339">
        <v>527.55700000000002</v>
      </c>
      <c r="O109" s="210"/>
    </row>
    <row r="110" spans="1:15" ht="13.5" thickTop="1" thickBot="1">
      <c r="A110" s="852"/>
      <c r="B110" s="207"/>
      <c r="C110" s="208" t="s">
        <v>90</v>
      </c>
      <c r="D110" s="326">
        <f t="shared" si="18"/>
        <v>0</v>
      </c>
      <c r="E110" s="327"/>
      <c r="F110" s="327"/>
      <c r="G110" s="327"/>
      <c r="H110" s="339"/>
      <c r="I110" s="326"/>
      <c r="J110" s="209">
        <f t="shared" si="19"/>
        <v>0</v>
      </c>
      <c r="K110" s="210"/>
      <c r="L110" s="210"/>
      <c r="M110" s="210"/>
      <c r="N110" s="699"/>
      <c r="O110" s="209"/>
    </row>
    <row r="111" spans="1:15" ht="13.5" thickTop="1" thickBot="1">
      <c r="A111" s="852"/>
      <c r="B111" s="207"/>
      <c r="C111" s="208" t="s">
        <v>91</v>
      </c>
      <c r="D111" s="326">
        <f t="shared" si="18"/>
        <v>0</v>
      </c>
      <c r="E111" s="327"/>
      <c r="F111" s="327"/>
      <c r="G111" s="327"/>
      <c r="H111" s="327"/>
      <c r="I111" s="326"/>
      <c r="J111" s="209">
        <f t="shared" si="19"/>
        <v>0</v>
      </c>
      <c r="K111" s="210"/>
      <c r="L111" s="210"/>
      <c r="M111" s="210"/>
      <c r="N111" s="210"/>
      <c r="O111" s="209"/>
    </row>
    <row r="112" spans="1:15" ht="13.5" thickTop="1" thickBot="1">
      <c r="A112" s="852"/>
      <c r="B112" s="182" t="s">
        <v>237</v>
      </c>
      <c r="C112" s="182" t="s">
        <v>93</v>
      </c>
      <c r="D112" s="324">
        <f t="shared" si="18"/>
        <v>0</v>
      </c>
      <c r="E112" s="324"/>
      <c r="F112" s="324"/>
      <c r="G112" s="328"/>
      <c r="H112" s="328"/>
      <c r="I112" s="324"/>
      <c r="J112" s="196">
        <f t="shared" si="19"/>
        <v>0</v>
      </c>
      <c r="K112" s="196"/>
      <c r="L112" s="196"/>
      <c r="M112" s="211"/>
      <c r="N112" s="211"/>
      <c r="O112" s="196"/>
    </row>
    <row r="113" spans="1:15" ht="13.5" thickTop="1" thickBot="1">
      <c r="A113" s="852"/>
      <c r="B113" s="182" t="s">
        <v>238</v>
      </c>
      <c r="C113" s="182" t="s">
        <v>95</v>
      </c>
      <c r="D113" s="330">
        <f t="shared" si="18"/>
        <v>0</v>
      </c>
      <c r="E113" s="380"/>
      <c r="F113" s="331"/>
      <c r="G113" s="326"/>
      <c r="H113" s="326"/>
      <c r="I113" s="324"/>
      <c r="J113" s="213">
        <f t="shared" si="19"/>
        <v>0</v>
      </c>
      <c r="K113" s="383"/>
      <c r="L113" s="320"/>
      <c r="M113" s="209"/>
      <c r="N113" s="209"/>
      <c r="O113" s="196"/>
    </row>
    <row r="114" spans="1:15" ht="13.5" thickTop="1" thickBot="1">
      <c r="A114" s="852"/>
      <c r="B114" s="207"/>
      <c r="C114" s="208" t="s">
        <v>89</v>
      </c>
      <c r="D114" s="326">
        <f t="shared" si="18"/>
        <v>0</v>
      </c>
      <c r="E114" s="327"/>
      <c r="F114" s="327"/>
      <c r="G114" s="326"/>
      <c r="H114" s="326"/>
      <c r="I114" s="327"/>
      <c r="J114" s="209">
        <f t="shared" si="19"/>
        <v>0</v>
      </c>
      <c r="K114" s="210"/>
      <c r="L114" s="210"/>
      <c r="M114" s="209"/>
      <c r="N114" s="209"/>
      <c r="O114" s="210"/>
    </row>
    <row r="115" spans="1:15" ht="13.5" thickTop="1" thickBot="1">
      <c r="A115" s="852"/>
      <c r="B115" s="207"/>
      <c r="C115" s="208" t="s">
        <v>90</v>
      </c>
      <c r="D115" s="326">
        <f t="shared" si="18"/>
        <v>0</v>
      </c>
      <c r="E115" s="327"/>
      <c r="F115" s="327"/>
      <c r="G115" s="327"/>
      <c r="H115" s="326"/>
      <c r="I115" s="326"/>
      <c r="J115" s="209">
        <f t="shared" si="19"/>
        <v>0</v>
      </c>
      <c r="K115" s="210"/>
      <c r="L115" s="210"/>
      <c r="M115" s="210"/>
      <c r="N115" s="209"/>
      <c r="O115" s="209"/>
    </row>
    <row r="116" spans="1:15" ht="13.5" thickTop="1" thickBot="1">
      <c r="A116" s="852"/>
      <c r="B116" s="207"/>
      <c r="C116" s="208" t="s">
        <v>91</v>
      </c>
      <c r="D116" s="326">
        <f t="shared" si="18"/>
        <v>0</v>
      </c>
      <c r="E116" s="327"/>
      <c r="F116" s="327"/>
      <c r="G116" s="327"/>
      <c r="H116" s="327"/>
      <c r="I116" s="326"/>
      <c r="J116" s="209">
        <f t="shared" si="19"/>
        <v>0</v>
      </c>
      <c r="K116" s="210"/>
      <c r="L116" s="210"/>
      <c r="M116" s="210"/>
      <c r="N116" s="210"/>
      <c r="O116" s="209"/>
    </row>
    <row r="117" spans="1:15" ht="13.5" thickTop="1" thickBot="1">
      <c r="A117" s="852"/>
      <c r="B117" s="182" t="s">
        <v>239</v>
      </c>
      <c r="C117" s="182" t="s">
        <v>97</v>
      </c>
      <c r="D117" s="324">
        <f t="shared" si="18"/>
        <v>0</v>
      </c>
      <c r="E117" s="324"/>
      <c r="F117" s="324"/>
      <c r="G117" s="324"/>
      <c r="H117" s="324"/>
      <c r="I117" s="324"/>
      <c r="J117" s="196">
        <f t="shared" si="19"/>
        <v>0</v>
      </c>
      <c r="K117" s="196"/>
      <c r="L117" s="196"/>
      <c r="M117" s="196"/>
      <c r="N117" s="185"/>
      <c r="O117" s="196"/>
    </row>
    <row r="118" spans="1:15" ht="13.5" thickTop="1" thickBot="1">
      <c r="A118" s="852"/>
      <c r="B118" s="182" t="s">
        <v>240</v>
      </c>
      <c r="C118" s="182" t="s">
        <v>99</v>
      </c>
      <c r="D118" s="324">
        <f t="shared" si="18"/>
        <v>0</v>
      </c>
      <c r="E118" s="324"/>
      <c r="F118" s="324"/>
      <c r="G118" s="324"/>
      <c r="H118" s="323"/>
      <c r="I118" s="324"/>
      <c r="J118" s="196">
        <f t="shared" si="19"/>
        <v>0</v>
      </c>
      <c r="K118" s="196"/>
      <c r="L118" s="196"/>
      <c r="M118" s="196"/>
      <c r="N118" s="196"/>
      <c r="O118" s="196"/>
    </row>
    <row r="119" spans="1:15" ht="13.5" thickTop="1" thickBot="1">
      <c r="A119" s="852"/>
      <c r="B119" s="204" t="s">
        <v>242</v>
      </c>
      <c r="C119" s="595" t="s">
        <v>248</v>
      </c>
      <c r="D119" s="325">
        <f t="shared" ref="D119:D130" si="20">SUM(E119:I119)</f>
        <v>0</v>
      </c>
      <c r="E119" s="284"/>
      <c r="F119" s="325"/>
      <c r="G119" s="284"/>
      <c r="H119" s="339"/>
      <c r="I119" s="284"/>
      <c r="J119" s="206">
        <f t="shared" ref="J119:J130" si="21">SUM(K119:O119)</f>
        <v>0</v>
      </c>
      <c r="K119" s="284"/>
      <c r="L119" s="325"/>
      <c r="M119" s="214"/>
      <c r="N119" s="339"/>
      <c r="O119" s="214"/>
    </row>
    <row r="120" spans="1:15" ht="13.5" thickTop="1" thickBot="1">
      <c r="A120" s="852"/>
      <c r="B120" s="182" t="s">
        <v>243</v>
      </c>
      <c r="C120" s="182" t="s">
        <v>88</v>
      </c>
      <c r="D120" s="324">
        <f t="shared" si="20"/>
        <v>0</v>
      </c>
      <c r="E120" s="324"/>
      <c r="F120" s="324"/>
      <c r="G120" s="324"/>
      <c r="H120" s="324"/>
      <c r="I120" s="324"/>
      <c r="J120" s="196">
        <f t="shared" si="21"/>
        <v>0</v>
      </c>
      <c r="K120" s="196"/>
      <c r="L120" s="196"/>
      <c r="M120" s="196"/>
      <c r="N120" s="196"/>
      <c r="O120" s="196"/>
    </row>
    <row r="121" spans="1:15" ht="13.5" thickTop="1" thickBot="1">
      <c r="A121" s="852"/>
      <c r="B121" s="207"/>
      <c r="C121" s="208" t="s">
        <v>89</v>
      </c>
      <c r="D121" s="326">
        <f t="shared" si="20"/>
        <v>0</v>
      </c>
      <c r="E121" s="327"/>
      <c r="F121" s="327"/>
      <c r="G121" s="326"/>
      <c r="H121" s="339"/>
      <c r="I121" s="327"/>
      <c r="J121" s="209">
        <f t="shared" si="21"/>
        <v>0</v>
      </c>
      <c r="K121" s="210"/>
      <c r="L121" s="210"/>
      <c r="M121" s="209"/>
      <c r="N121" s="339"/>
      <c r="O121" s="210"/>
    </row>
    <row r="122" spans="1:15" ht="13.5" thickTop="1" thickBot="1">
      <c r="A122" s="852"/>
      <c r="B122" s="207"/>
      <c r="C122" s="208" t="s">
        <v>90</v>
      </c>
      <c r="D122" s="326">
        <f t="shared" si="20"/>
        <v>0</v>
      </c>
      <c r="E122" s="327"/>
      <c r="F122" s="327"/>
      <c r="G122" s="327"/>
      <c r="H122" s="339"/>
      <c r="I122" s="326"/>
      <c r="J122" s="209">
        <f t="shared" si="21"/>
        <v>0</v>
      </c>
      <c r="K122" s="210"/>
      <c r="L122" s="210"/>
      <c r="M122" s="210"/>
      <c r="N122" s="699"/>
      <c r="O122" s="209"/>
    </row>
    <row r="123" spans="1:15" ht="13.5" thickTop="1" thickBot="1">
      <c r="A123" s="852"/>
      <c r="B123" s="207"/>
      <c r="C123" s="208" t="s">
        <v>91</v>
      </c>
      <c r="D123" s="326">
        <f t="shared" si="20"/>
        <v>0</v>
      </c>
      <c r="E123" s="327"/>
      <c r="F123" s="327"/>
      <c r="G123" s="327"/>
      <c r="H123" s="327"/>
      <c r="I123" s="326"/>
      <c r="J123" s="209">
        <f t="shared" si="21"/>
        <v>0</v>
      </c>
      <c r="K123" s="210"/>
      <c r="L123" s="210"/>
      <c r="M123" s="210"/>
      <c r="N123" s="210"/>
      <c r="O123" s="209"/>
    </row>
    <row r="124" spans="1:15" ht="13.5" thickTop="1" thickBot="1">
      <c r="A124" s="852"/>
      <c r="B124" s="182" t="s">
        <v>244</v>
      </c>
      <c r="C124" s="182" t="s">
        <v>93</v>
      </c>
      <c r="D124" s="324">
        <f t="shared" si="20"/>
        <v>0</v>
      </c>
      <c r="E124" s="324"/>
      <c r="F124" s="324"/>
      <c r="G124" s="328"/>
      <c r="H124" s="328"/>
      <c r="I124" s="324"/>
      <c r="J124" s="196">
        <f t="shared" si="21"/>
        <v>0</v>
      </c>
      <c r="K124" s="196"/>
      <c r="L124" s="196"/>
      <c r="M124" s="211"/>
      <c r="N124" s="211"/>
      <c r="O124" s="196"/>
    </row>
    <row r="125" spans="1:15" ht="13.5" thickTop="1" thickBot="1">
      <c r="A125" s="852"/>
      <c r="B125" s="182" t="s">
        <v>245</v>
      </c>
      <c r="C125" s="182" t="s">
        <v>95</v>
      </c>
      <c r="D125" s="330">
        <f t="shared" si="20"/>
        <v>0</v>
      </c>
      <c r="E125" s="380"/>
      <c r="F125" s="331"/>
      <c r="G125" s="326"/>
      <c r="H125" s="326"/>
      <c r="I125" s="324"/>
      <c r="J125" s="213">
        <f t="shared" si="21"/>
        <v>0</v>
      </c>
      <c r="K125" s="383"/>
      <c r="L125" s="320"/>
      <c r="M125" s="209"/>
      <c r="N125" s="209"/>
      <c r="O125" s="196"/>
    </row>
    <row r="126" spans="1:15" ht="13.5" thickTop="1" thickBot="1">
      <c r="A126" s="852"/>
      <c r="B126" s="207"/>
      <c r="C126" s="208" t="s">
        <v>89</v>
      </c>
      <c r="D126" s="326">
        <f t="shared" si="20"/>
        <v>0</v>
      </c>
      <c r="E126" s="327"/>
      <c r="F126" s="327"/>
      <c r="G126" s="326"/>
      <c r="H126" s="326"/>
      <c r="I126" s="327"/>
      <c r="J126" s="209">
        <f t="shared" si="21"/>
        <v>0</v>
      </c>
      <c r="K126" s="210"/>
      <c r="L126" s="210"/>
      <c r="M126" s="209"/>
      <c r="N126" s="209"/>
      <c r="O126" s="210"/>
    </row>
    <row r="127" spans="1:15" ht="13.5" thickTop="1" thickBot="1">
      <c r="A127" s="852"/>
      <c r="B127" s="207"/>
      <c r="C127" s="208" t="s">
        <v>90</v>
      </c>
      <c r="D127" s="326">
        <f t="shared" si="20"/>
        <v>0</v>
      </c>
      <c r="E127" s="327"/>
      <c r="F127" s="327"/>
      <c r="G127" s="327"/>
      <c r="H127" s="326"/>
      <c r="I127" s="326"/>
      <c r="J127" s="209">
        <f t="shared" si="21"/>
        <v>0</v>
      </c>
      <c r="K127" s="210"/>
      <c r="L127" s="210"/>
      <c r="M127" s="210"/>
      <c r="N127" s="209"/>
      <c r="O127" s="209"/>
    </row>
    <row r="128" spans="1:15" ht="13.5" thickTop="1" thickBot="1">
      <c r="A128" s="852"/>
      <c r="B128" s="207"/>
      <c r="C128" s="208" t="s">
        <v>91</v>
      </c>
      <c r="D128" s="326">
        <f t="shared" si="20"/>
        <v>0</v>
      </c>
      <c r="E128" s="327"/>
      <c r="F128" s="327"/>
      <c r="G128" s="327"/>
      <c r="H128" s="327"/>
      <c r="I128" s="326"/>
      <c r="J128" s="209">
        <f t="shared" si="21"/>
        <v>0</v>
      </c>
      <c r="K128" s="210"/>
      <c r="L128" s="210"/>
      <c r="M128" s="210"/>
      <c r="N128" s="210"/>
      <c r="O128" s="209"/>
    </row>
    <row r="129" spans="1:16" ht="13.5" thickTop="1" thickBot="1">
      <c r="A129" s="852"/>
      <c r="B129" s="182" t="s">
        <v>246</v>
      </c>
      <c r="C129" s="182" t="s">
        <v>97</v>
      </c>
      <c r="D129" s="324">
        <f t="shared" si="20"/>
        <v>0</v>
      </c>
      <c r="E129" s="324"/>
      <c r="F129" s="324"/>
      <c r="G129" s="324"/>
      <c r="H129" s="324"/>
      <c r="I129" s="324"/>
      <c r="J129" s="196">
        <f t="shared" si="21"/>
        <v>0</v>
      </c>
      <c r="K129" s="196"/>
      <c r="L129" s="196"/>
      <c r="M129" s="196"/>
      <c r="N129" s="185"/>
      <c r="O129" s="196"/>
    </row>
    <row r="130" spans="1:16" ht="13.5" thickTop="1" thickBot="1">
      <c r="A130" s="852"/>
      <c r="B130" s="182" t="s">
        <v>247</v>
      </c>
      <c r="C130" s="182" t="s">
        <v>99</v>
      </c>
      <c r="D130" s="324">
        <f t="shared" si="20"/>
        <v>0</v>
      </c>
      <c r="E130" s="324"/>
      <c r="F130" s="324"/>
      <c r="G130" s="324"/>
      <c r="H130" s="323"/>
      <c r="I130" s="324"/>
      <c r="J130" s="196">
        <f t="shared" si="21"/>
        <v>0</v>
      </c>
      <c r="K130" s="196"/>
      <c r="L130" s="196"/>
      <c r="M130" s="196"/>
      <c r="N130" s="196"/>
      <c r="O130" s="196"/>
    </row>
    <row r="131" spans="1:16" ht="13.5" thickTop="1" thickBot="1">
      <c r="A131" s="852"/>
      <c r="B131" s="204" t="s">
        <v>250</v>
      </c>
      <c r="C131" s="595" t="s">
        <v>249</v>
      </c>
      <c r="D131" s="325">
        <f t="shared" ref="D131:D142" si="22">SUM(E131:I131)</f>
        <v>0</v>
      </c>
      <c r="E131" s="284"/>
      <c r="F131" s="325"/>
      <c r="G131" s="284"/>
      <c r="H131" s="339"/>
      <c r="I131" s="284"/>
      <c r="J131" s="206">
        <f t="shared" ref="J131:J142" si="23">SUM(K131:O131)</f>
        <v>0</v>
      </c>
      <c r="K131" s="284"/>
      <c r="L131" s="325"/>
      <c r="M131" s="214"/>
      <c r="N131" s="339"/>
      <c r="O131" s="214"/>
    </row>
    <row r="132" spans="1:16" ht="13.5" thickTop="1" thickBot="1">
      <c r="A132" s="852"/>
      <c r="B132" s="182" t="s">
        <v>251</v>
      </c>
      <c r="C132" s="182" t="s">
        <v>88</v>
      </c>
      <c r="D132" s="324">
        <f t="shared" si="22"/>
        <v>0</v>
      </c>
      <c r="E132" s="324"/>
      <c r="F132" s="324"/>
      <c r="G132" s="324"/>
      <c r="H132" s="324"/>
      <c r="I132" s="324"/>
      <c r="J132" s="196">
        <f t="shared" si="23"/>
        <v>0</v>
      </c>
      <c r="K132" s="196"/>
      <c r="L132" s="196"/>
      <c r="M132" s="196"/>
      <c r="N132" s="196"/>
      <c r="O132" s="196"/>
    </row>
    <row r="133" spans="1:16" ht="13.5" thickTop="1" thickBot="1">
      <c r="A133" s="852"/>
      <c r="B133" s="207"/>
      <c r="C133" s="208" t="s">
        <v>89</v>
      </c>
      <c r="D133" s="326">
        <f t="shared" si="22"/>
        <v>0</v>
      </c>
      <c r="E133" s="327"/>
      <c r="F133" s="327"/>
      <c r="G133" s="326"/>
      <c r="H133" s="339"/>
      <c r="I133" s="327"/>
      <c r="J133" s="209">
        <f t="shared" si="23"/>
        <v>0</v>
      </c>
      <c r="K133" s="210"/>
      <c r="L133" s="210"/>
      <c r="M133" s="209"/>
      <c r="N133" s="339"/>
      <c r="O133" s="210"/>
    </row>
    <row r="134" spans="1:16" ht="13.5" thickTop="1" thickBot="1">
      <c r="A134" s="852"/>
      <c r="B134" s="207"/>
      <c r="C134" s="208" t="s">
        <v>90</v>
      </c>
      <c r="D134" s="326">
        <f t="shared" si="22"/>
        <v>0</v>
      </c>
      <c r="E134" s="327"/>
      <c r="F134" s="327"/>
      <c r="G134" s="327"/>
      <c r="H134" s="339"/>
      <c r="I134" s="326"/>
      <c r="J134" s="209">
        <f t="shared" si="23"/>
        <v>0</v>
      </c>
      <c r="K134" s="210"/>
      <c r="L134" s="210"/>
      <c r="M134" s="210"/>
      <c r="N134" s="699"/>
      <c r="O134" s="209"/>
    </row>
    <row r="135" spans="1:16" ht="13.5" thickTop="1" thickBot="1">
      <c r="A135" s="852"/>
      <c r="B135" s="207"/>
      <c r="C135" s="208" t="s">
        <v>91</v>
      </c>
      <c r="D135" s="326">
        <f t="shared" si="22"/>
        <v>0</v>
      </c>
      <c r="E135" s="327"/>
      <c r="F135" s="327"/>
      <c r="G135" s="327"/>
      <c r="H135" s="327"/>
      <c r="I135" s="326"/>
      <c r="J135" s="209">
        <f t="shared" si="23"/>
        <v>0</v>
      </c>
      <c r="K135" s="210"/>
      <c r="L135" s="210"/>
      <c r="M135" s="210"/>
      <c r="N135" s="210"/>
      <c r="O135" s="209"/>
    </row>
    <row r="136" spans="1:16" ht="13.5" thickTop="1" thickBot="1">
      <c r="A136" s="852"/>
      <c r="B136" s="182" t="s">
        <v>252</v>
      </c>
      <c r="C136" s="182" t="s">
        <v>93</v>
      </c>
      <c r="D136" s="324">
        <f t="shared" si="22"/>
        <v>0</v>
      </c>
      <c r="E136" s="324"/>
      <c r="F136" s="324"/>
      <c r="G136" s="328"/>
      <c r="H136" s="328"/>
      <c r="I136" s="324"/>
      <c r="J136" s="196">
        <f t="shared" si="23"/>
        <v>0</v>
      </c>
      <c r="K136" s="196"/>
      <c r="L136" s="196"/>
      <c r="M136" s="211"/>
      <c r="N136" s="211"/>
      <c r="O136" s="196"/>
    </row>
    <row r="137" spans="1:16" ht="13.5" thickTop="1" thickBot="1">
      <c r="A137" s="852"/>
      <c r="B137" s="182" t="s">
        <v>253</v>
      </c>
      <c r="C137" s="182" t="s">
        <v>95</v>
      </c>
      <c r="D137" s="330">
        <f t="shared" si="22"/>
        <v>0</v>
      </c>
      <c r="E137" s="380"/>
      <c r="F137" s="331"/>
      <c r="G137" s="326"/>
      <c r="H137" s="326"/>
      <c r="I137" s="324"/>
      <c r="J137" s="213">
        <f t="shared" si="23"/>
        <v>0</v>
      </c>
      <c r="K137" s="383"/>
      <c r="L137" s="320"/>
      <c r="M137" s="209"/>
      <c r="N137" s="209"/>
      <c r="O137" s="196"/>
    </row>
    <row r="138" spans="1:16" ht="13.5" thickTop="1" thickBot="1">
      <c r="A138" s="852"/>
      <c r="B138" s="207"/>
      <c r="C138" s="208" t="s">
        <v>89</v>
      </c>
      <c r="D138" s="326">
        <f t="shared" si="22"/>
        <v>0</v>
      </c>
      <c r="E138" s="327"/>
      <c r="F138" s="327"/>
      <c r="G138" s="326"/>
      <c r="H138" s="326"/>
      <c r="I138" s="327"/>
      <c r="J138" s="209">
        <f t="shared" si="23"/>
        <v>0</v>
      </c>
      <c r="K138" s="210"/>
      <c r="L138" s="210"/>
      <c r="M138" s="209"/>
      <c r="N138" s="209"/>
      <c r="O138" s="210"/>
    </row>
    <row r="139" spans="1:16" ht="13.5" thickTop="1" thickBot="1">
      <c r="A139" s="852"/>
      <c r="B139" s="207"/>
      <c r="C139" s="208" t="s">
        <v>90</v>
      </c>
      <c r="D139" s="326">
        <f t="shared" si="22"/>
        <v>0</v>
      </c>
      <c r="E139" s="327"/>
      <c r="F139" s="327"/>
      <c r="G139" s="327"/>
      <c r="H139" s="326"/>
      <c r="I139" s="326"/>
      <c r="J139" s="209">
        <f t="shared" si="23"/>
        <v>0</v>
      </c>
      <c r="K139" s="210"/>
      <c r="L139" s="210"/>
      <c r="M139" s="210"/>
      <c r="N139" s="209"/>
      <c r="O139" s="209"/>
    </row>
    <row r="140" spans="1:16" ht="13.5" thickTop="1" thickBot="1">
      <c r="A140" s="852"/>
      <c r="B140" s="207"/>
      <c r="C140" s="208" t="s">
        <v>91</v>
      </c>
      <c r="D140" s="326">
        <f t="shared" si="22"/>
        <v>0</v>
      </c>
      <c r="E140" s="327"/>
      <c r="F140" s="327"/>
      <c r="G140" s="327"/>
      <c r="H140" s="327"/>
      <c r="I140" s="326"/>
      <c r="J140" s="209">
        <f t="shared" si="23"/>
        <v>0</v>
      </c>
      <c r="K140" s="210"/>
      <c r="L140" s="210"/>
      <c r="M140" s="210"/>
      <c r="N140" s="210"/>
      <c r="O140" s="209"/>
    </row>
    <row r="141" spans="1:16" ht="13.5" thickTop="1" thickBot="1">
      <c r="A141" s="852"/>
      <c r="B141" s="182" t="s">
        <v>254</v>
      </c>
      <c r="C141" s="182" t="s">
        <v>97</v>
      </c>
      <c r="D141" s="324">
        <f t="shared" si="22"/>
        <v>0</v>
      </c>
      <c r="E141" s="324"/>
      <c r="F141" s="324"/>
      <c r="G141" s="324"/>
      <c r="H141" s="324"/>
      <c r="I141" s="324"/>
      <c r="J141" s="196">
        <f t="shared" si="23"/>
        <v>0</v>
      </c>
      <c r="K141" s="196"/>
      <c r="L141" s="196"/>
      <c r="M141" s="196"/>
      <c r="N141" s="185"/>
      <c r="O141" s="196"/>
    </row>
    <row r="142" spans="1:16" ht="13.5" thickTop="1" thickBot="1">
      <c r="A142" s="852"/>
      <c r="B142" s="182" t="s">
        <v>255</v>
      </c>
      <c r="C142" s="182" t="s">
        <v>99</v>
      </c>
      <c r="D142" s="324">
        <f t="shared" si="22"/>
        <v>0</v>
      </c>
      <c r="E142" s="324"/>
      <c r="F142" s="324"/>
      <c r="G142" s="324"/>
      <c r="H142" s="323"/>
      <c r="I142" s="324"/>
      <c r="J142" s="196">
        <f t="shared" si="23"/>
        <v>0</v>
      </c>
      <c r="K142" s="196"/>
      <c r="L142" s="196"/>
      <c r="M142" s="196"/>
      <c r="N142" s="196"/>
      <c r="O142" s="196"/>
    </row>
    <row r="143" spans="1:16" ht="12.75" customHeight="1" thickTop="1" thickBot="1">
      <c r="A143" s="852"/>
      <c r="B143" s="257" t="s">
        <v>100</v>
      </c>
      <c r="C143" s="257" t="s">
        <v>101</v>
      </c>
      <c r="D143" s="285">
        <f>SUM(E143:I143)</f>
        <v>282109.20000000007</v>
      </c>
      <c r="E143" s="386">
        <f>SUM(E144:E147)</f>
        <v>0</v>
      </c>
      <c r="F143" s="386">
        <f>SUM(F144:F147)</f>
        <v>91550.000000000015</v>
      </c>
      <c r="G143" s="386">
        <f>SUM(G144:G147)</f>
        <v>4767.6000000000004</v>
      </c>
      <c r="H143" s="386">
        <f>SUM(H144:H147)</f>
        <v>75379.5</v>
      </c>
      <c r="I143" s="261">
        <f>SUM(I144:I147)</f>
        <v>110412.1</v>
      </c>
      <c r="J143" s="617">
        <f>SUM(K143:O143)</f>
        <v>258017.48200000002</v>
      </c>
      <c r="K143" s="386">
        <f>SUM(K144:K147)</f>
        <v>0</v>
      </c>
      <c r="L143" s="386">
        <f>SUM(L144:L147)</f>
        <v>98461.587</v>
      </c>
      <c r="M143" s="386">
        <f>SUM(M144:M147)</f>
        <v>2409.962</v>
      </c>
      <c r="N143" s="618">
        <f>SUM(N144:N147)</f>
        <v>65546.394</v>
      </c>
      <c r="O143" s="261">
        <f>SUM(O144:O147)</f>
        <v>91599.539000000004</v>
      </c>
      <c r="P143" s="701"/>
    </row>
    <row r="144" spans="1:16" ht="12.75" customHeight="1" thickTop="1" thickBot="1">
      <c r="A144" s="852"/>
      <c r="B144" s="249" t="s">
        <v>102</v>
      </c>
      <c r="C144" s="250" t="s">
        <v>103</v>
      </c>
      <c r="D144" s="358">
        <f>SUM(E144:I144)</f>
        <v>89982.178</v>
      </c>
      <c r="E144" s="252"/>
      <c r="F144" s="287"/>
      <c r="G144" s="287"/>
      <c r="H144" s="287"/>
      <c r="I144" s="288">
        <v>89982.178</v>
      </c>
      <c r="J144" s="358">
        <f>SUM(K144:O144)</f>
        <v>71084.972999999998</v>
      </c>
      <c r="K144" s="252"/>
      <c r="L144" s="287"/>
      <c r="M144" s="287"/>
      <c r="N144" s="287"/>
      <c r="O144" s="616">
        <v>71084.972999999998</v>
      </c>
      <c r="P144" s="24"/>
    </row>
    <row r="145" spans="1:19" ht="12.75" customHeight="1" thickTop="1" thickBot="1">
      <c r="A145" s="852"/>
      <c r="B145" s="249" t="s">
        <v>104</v>
      </c>
      <c r="C145" s="250" t="s">
        <v>206</v>
      </c>
      <c r="D145" s="358">
        <f>SUM(E145:I145)</f>
        <v>0</v>
      </c>
      <c r="E145" s="252"/>
      <c r="F145" s="287"/>
      <c r="G145" s="287"/>
      <c r="H145" s="287"/>
      <c r="I145" s="288"/>
      <c r="J145" s="358">
        <f>SUM(K145:O145)</f>
        <v>0</v>
      </c>
      <c r="K145" s="252"/>
      <c r="L145" s="287"/>
      <c r="M145" s="287"/>
      <c r="N145" s="287"/>
      <c r="O145" s="288"/>
      <c r="P145" s="24"/>
    </row>
    <row r="146" spans="1:19" ht="12.75" customHeight="1" thickTop="1" thickBot="1">
      <c r="A146" s="852"/>
      <c r="B146" s="249" t="s">
        <v>106</v>
      </c>
      <c r="C146" s="250" t="s">
        <v>105</v>
      </c>
      <c r="D146" s="358">
        <f>SUM(E146:I146)</f>
        <v>192127.02200000003</v>
      </c>
      <c r="E146" s="289"/>
      <c r="F146" s="290">
        <v>91550.000000000015</v>
      </c>
      <c r="G146" s="290">
        <v>4767.6000000000004</v>
      </c>
      <c r="H146" s="290">
        <v>75379.5</v>
      </c>
      <c r="I146" s="290">
        <v>20429.921999999999</v>
      </c>
      <c r="J146" s="252">
        <f>SUM(K146:O146)</f>
        <v>163661.568</v>
      </c>
      <c r="K146" s="289"/>
      <c r="L146" s="290">
        <v>98461.587</v>
      </c>
      <c r="M146" s="290">
        <v>2170.529</v>
      </c>
      <c r="N146" s="290">
        <v>47491.058000000005</v>
      </c>
      <c r="O146" s="290">
        <v>15538.394</v>
      </c>
      <c r="P146" s="24"/>
      <c r="S146" s="321"/>
    </row>
    <row r="147" spans="1:19" ht="12.75" customHeight="1" thickTop="1" thickBot="1">
      <c r="A147" s="852"/>
      <c r="B147" s="249" t="s">
        <v>207</v>
      </c>
      <c r="C147" s="250" t="s">
        <v>107</v>
      </c>
      <c r="D147" s="358">
        <f>SUM(E147:I147)</f>
        <v>0</v>
      </c>
      <c r="E147" s="289"/>
      <c r="F147" s="290"/>
      <c r="G147" s="290"/>
      <c r="H147" s="290"/>
      <c r="I147" s="290"/>
      <c r="J147" s="604">
        <f>SUM(K147:O147)</f>
        <v>23270.940999999999</v>
      </c>
      <c r="K147" s="289"/>
      <c r="L147" s="290"/>
      <c r="M147" s="290">
        <v>239.43299999999999</v>
      </c>
      <c r="N147" s="290">
        <v>18055.335999999999</v>
      </c>
      <c r="O147" s="290">
        <v>4976.1719999999996</v>
      </c>
      <c r="P147" s="24"/>
      <c r="S147" s="321"/>
    </row>
    <row r="148" spans="1:19" ht="12.75" customHeight="1" thickTop="1" thickBot="1">
      <c r="A148" s="852"/>
      <c r="B148" s="249" t="s">
        <v>108</v>
      </c>
      <c r="C148" s="249" t="s">
        <v>169</v>
      </c>
      <c r="D148" s="291">
        <f>D150/1.18/D143</f>
        <v>1.1205315147350803</v>
      </c>
      <c r="E148" s="596">
        <v>0.68011999999999995</v>
      </c>
      <c r="F148" s="596">
        <v>0.68011999999999995</v>
      </c>
      <c r="G148" s="596">
        <v>0.88302999999999998</v>
      </c>
      <c r="H148" s="596">
        <v>1.4213300000000002</v>
      </c>
      <c r="I148" s="596">
        <v>2.0129100000000002</v>
      </c>
      <c r="J148" s="291">
        <f>J150/1.18/J143</f>
        <v>1.0897259714750647</v>
      </c>
      <c r="K148" s="596">
        <v>0.66874019804291795</v>
      </c>
      <c r="L148" s="596">
        <v>0.66874019804291795</v>
      </c>
      <c r="M148" s="596">
        <v>0.92549113637476443</v>
      </c>
      <c r="N148" s="596">
        <v>1.4051435107170049</v>
      </c>
      <c r="O148" s="596">
        <v>2.0104107247504039</v>
      </c>
      <c r="P148" s="24"/>
      <c r="S148" s="321"/>
    </row>
    <row r="149" spans="1:19" ht="12.75" customHeight="1" thickTop="1" thickBot="1">
      <c r="A149" s="860"/>
      <c r="B149" s="249" t="s">
        <v>205</v>
      </c>
      <c r="C149" s="249" t="s">
        <v>169</v>
      </c>
      <c r="D149" s="291"/>
      <c r="E149" s="289"/>
      <c r="F149" s="290"/>
      <c r="G149" s="290"/>
      <c r="H149" s="290"/>
      <c r="I149" s="598">
        <v>1.2726899999999999</v>
      </c>
      <c r="J149" s="291"/>
      <c r="K149" s="289"/>
      <c r="L149" s="290"/>
      <c r="M149" s="290"/>
      <c r="N149" s="290"/>
      <c r="O149" s="598">
        <v>1.2726900000369981</v>
      </c>
      <c r="P149" s="701"/>
    </row>
    <row r="150" spans="1:19" ht="12.75" customHeight="1" thickTop="1" thickBot="1">
      <c r="A150" s="853"/>
      <c r="B150" s="249" t="s">
        <v>109</v>
      </c>
      <c r="C150" s="292" t="s">
        <v>110</v>
      </c>
      <c r="D150" s="285">
        <f>SUM(E150:I150)</f>
        <v>373012.45405210811</v>
      </c>
      <c r="E150" s="597">
        <f>E143*E148*1.18</f>
        <v>0</v>
      </c>
      <c r="F150" s="597">
        <f>(F143*F148-F195)*1.18</f>
        <v>57961.786701796904</v>
      </c>
      <c r="G150" s="597">
        <f>G143*G148*1.18</f>
        <v>4967.7219170400003</v>
      </c>
      <c r="H150" s="597">
        <f>H143*H148*1.18</f>
        <v>126424.1907873</v>
      </c>
      <c r="I150" s="597">
        <f>(I148*I146+I147*I148+I149*I144+I149*I145)*1.18</f>
        <v>183658.75464597117</v>
      </c>
      <c r="J150" s="285">
        <f>SUM(K150:O150)</f>
        <v>331778.65445140004</v>
      </c>
      <c r="K150" s="261">
        <f>K143*K148*1.18</f>
        <v>0</v>
      </c>
      <c r="L150" s="285">
        <f>(L143*L148-L195)*1.18</f>
        <v>65046.349252199994</v>
      </c>
      <c r="M150" s="261">
        <f>M143*M148*1.18</f>
        <v>2631.8701946000001</v>
      </c>
      <c r="N150" s="261">
        <f>N143*N148*1.18</f>
        <v>108680.46641240003</v>
      </c>
      <c r="O150" s="597">
        <f>(O148*O146+O147*O148+O149*O144+O149*O145)*1.18</f>
        <v>155419.96859219999</v>
      </c>
      <c r="Q150" s="24"/>
    </row>
    <row r="151" spans="1:19" ht="12.75" customHeight="1" thickBot="1">
      <c r="A151" s="861" t="s">
        <v>111</v>
      </c>
      <c r="B151" s="417" t="s">
        <v>112</v>
      </c>
      <c r="C151" s="504" t="s">
        <v>113</v>
      </c>
      <c r="D151" s="447">
        <f>SUM(E151:I151)</f>
        <v>79950</v>
      </c>
      <c r="E151" s="222">
        <f>E44-E34-E46</f>
        <v>0</v>
      </c>
      <c r="F151" s="222">
        <f t="shared" ref="F151:I151" si="24">F44-F34-F46</f>
        <v>10710</v>
      </c>
      <c r="G151" s="222">
        <f t="shared" si="24"/>
        <v>6100</v>
      </c>
      <c r="H151" s="222">
        <f t="shared" si="24"/>
        <v>21600</v>
      </c>
      <c r="I151" s="222">
        <f t="shared" si="24"/>
        <v>41540</v>
      </c>
      <c r="J151" s="685">
        <f>SUM(K151:O151)</f>
        <v>87683.645000000019</v>
      </c>
      <c r="K151" s="335">
        <f>K44-K34-K46</f>
        <v>0</v>
      </c>
      <c r="L151" s="335">
        <f>L44-L34-L46</f>
        <v>9458.1879999999801</v>
      </c>
      <c r="M151" s="335">
        <f>M44-M34-M46</f>
        <v>5092.8709999999928</v>
      </c>
      <c r="N151" s="335">
        <f>N44-N34-N46</f>
        <v>19643.929999999978</v>
      </c>
      <c r="O151" s="335">
        <f>O44-O34-O46</f>
        <v>53488.656000000075</v>
      </c>
    </row>
    <row r="152" spans="1:19" ht="12.75" customHeight="1" thickTop="1" thickBot="1">
      <c r="A152" s="853"/>
      <c r="B152" s="419" t="s">
        <v>114</v>
      </c>
      <c r="C152" s="488" t="s">
        <v>115</v>
      </c>
      <c r="D152" s="346">
        <f t="shared" ref="D152:J152" si="25">IF(D44=0,0,D151/D44*100)</f>
        <v>21.866965702095069</v>
      </c>
      <c r="E152" s="346">
        <f t="shared" si="25"/>
        <v>0</v>
      </c>
      <c r="F152" s="346">
        <f t="shared" si="25"/>
        <v>3.9882326655246887</v>
      </c>
      <c r="G152" s="346">
        <f t="shared" si="25"/>
        <v>5.3972270639969562</v>
      </c>
      <c r="H152" s="346">
        <f t="shared" si="25"/>
        <v>7.9887565648346772</v>
      </c>
      <c r="I152" s="346">
        <f t="shared" si="25"/>
        <v>27.077765465093538</v>
      </c>
      <c r="J152" s="346">
        <f t="shared" si="25"/>
        <v>25.224537670245322</v>
      </c>
      <c r="K152" s="346">
        <f>IF(K44=0,0,K151/K44*100)</f>
        <v>0</v>
      </c>
      <c r="L152" s="346">
        <f t="shared" ref="L152:O152" si="26">IF(L44=0,0,L151/L44*100)</f>
        <v>3.52845371637427</v>
      </c>
      <c r="M152" s="346">
        <f t="shared" si="26"/>
        <v>5.1630415361042781</v>
      </c>
      <c r="N152" s="346">
        <f t="shared" si="26"/>
        <v>7.6174317037946917</v>
      </c>
      <c r="O152" s="346">
        <f t="shared" si="26"/>
        <v>36.500756449246609</v>
      </c>
    </row>
    <row r="153" spans="1:19" ht="12.75" customHeight="1" thickTop="1" thickBot="1">
      <c r="A153" s="853"/>
      <c r="B153" s="419" t="s">
        <v>116</v>
      </c>
      <c r="C153" s="488" t="s">
        <v>117</v>
      </c>
      <c r="D153" s="346">
        <f t="shared" ref="D153:J153" si="27">IF(D45=0,0,D151/D45*100)</f>
        <v>21.866965702095069</v>
      </c>
      <c r="E153" s="346">
        <f t="shared" si="27"/>
        <v>0</v>
      </c>
      <c r="F153" s="346">
        <f t="shared" si="27"/>
        <v>3.9882326655246887</v>
      </c>
      <c r="G153" s="346">
        <f t="shared" si="27"/>
        <v>5.5789995481924954</v>
      </c>
      <c r="H153" s="346">
        <f t="shared" si="27"/>
        <v>8.6251819374314938</v>
      </c>
      <c r="I153" s="346">
        <f t="shared" si="27"/>
        <v>27.337562297592466</v>
      </c>
      <c r="J153" s="346">
        <f t="shared" si="27"/>
        <v>25.224537670245322</v>
      </c>
      <c r="K153" s="346">
        <f>IF(K45=0,0,K151/K45*100)</f>
        <v>0</v>
      </c>
      <c r="L153" s="346">
        <f t="shared" ref="L153:O153" si="28">IF(L45=0,0,L151/L45*100)</f>
        <v>3.5284537163742691</v>
      </c>
      <c r="M153" s="346">
        <f t="shared" si="28"/>
        <v>5.3591599966339372</v>
      </c>
      <c r="N153" s="346">
        <f t="shared" si="28"/>
        <v>8.4764139252719009</v>
      </c>
      <c r="O153" s="346">
        <f t="shared" si="28"/>
        <v>36.866304663863282</v>
      </c>
    </row>
    <row r="154" spans="1:19" ht="12.75" customHeight="1" thickTop="1" thickBot="1">
      <c r="A154" s="853"/>
      <c r="B154" s="420" t="s">
        <v>118</v>
      </c>
      <c r="C154" s="505" t="s">
        <v>209</v>
      </c>
      <c r="D154" s="299">
        <f>SUM(E154:I154)</f>
        <v>4273.1663097430992</v>
      </c>
      <c r="E154" s="299"/>
      <c r="F154" s="290">
        <f>3621.32738113822*1.18</f>
        <v>4273.1663097430992</v>
      </c>
      <c r="G154" s="299"/>
      <c r="H154" s="299"/>
      <c r="I154" s="299"/>
      <c r="J154" s="299">
        <f>SUM(K154:O154)</f>
        <v>3630.9901894</v>
      </c>
      <c r="K154" s="299">
        <v>0</v>
      </c>
      <c r="L154" s="289">
        <f>3077.11033*1.18</f>
        <v>3630.9901894</v>
      </c>
      <c r="M154" s="299"/>
      <c r="N154" s="299">
        <v>0</v>
      </c>
      <c r="O154" s="299">
        <v>0</v>
      </c>
    </row>
    <row r="155" spans="1:19" ht="12.75" customHeight="1" thickTop="1" thickBot="1">
      <c r="A155" s="853"/>
      <c r="B155" s="423" t="s">
        <v>120</v>
      </c>
      <c r="C155" s="503" t="s">
        <v>121</v>
      </c>
      <c r="D155" s="443">
        <f>SUM(E155:I155)</f>
        <v>79950</v>
      </c>
      <c r="E155" s="251">
        <f>E151</f>
        <v>0</v>
      </c>
      <c r="F155" s="251">
        <f>F151</f>
        <v>10710</v>
      </c>
      <c r="G155" s="251">
        <f>G151</f>
        <v>6100</v>
      </c>
      <c r="H155" s="251">
        <f>H151</f>
        <v>21600</v>
      </c>
      <c r="I155" s="251">
        <f>I151</f>
        <v>41540</v>
      </c>
      <c r="J155" s="251">
        <f>SUM(K155:O155)</f>
        <v>87683.645000000019</v>
      </c>
      <c r="K155" s="251">
        <f>K151</f>
        <v>0</v>
      </c>
      <c r="L155" s="251">
        <f>L151</f>
        <v>9458.1879999999801</v>
      </c>
      <c r="M155" s="251">
        <f>M151</f>
        <v>5092.8709999999928</v>
      </c>
      <c r="N155" s="251">
        <f>N151</f>
        <v>19643.929999999978</v>
      </c>
      <c r="O155" s="251">
        <f>O151</f>
        <v>53488.656000000075</v>
      </c>
    </row>
    <row r="156" spans="1:19" ht="12.75" customHeight="1" thickTop="1" thickBot="1">
      <c r="A156" s="853"/>
      <c r="B156" s="423" t="s">
        <v>122</v>
      </c>
      <c r="C156" s="503" t="s">
        <v>167</v>
      </c>
      <c r="D156" s="444">
        <f>D157/1.18/D155</f>
        <v>1.6163480658165588</v>
      </c>
      <c r="E156" s="341">
        <v>1.616348065816559</v>
      </c>
      <c r="F156" s="341">
        <v>1.616348065816559</v>
      </c>
      <c r="G156" s="341">
        <v>1.616348065816559</v>
      </c>
      <c r="H156" s="341">
        <v>1.616348065816559</v>
      </c>
      <c r="I156" s="341">
        <v>1.616348065816559</v>
      </c>
      <c r="J156" s="301">
        <f>J157/1.18/J155</f>
        <v>1.543325548453192</v>
      </c>
      <c r="K156" s="341">
        <v>1.5433255484531918</v>
      </c>
      <c r="L156" s="341">
        <v>1.5433255484531918</v>
      </c>
      <c r="M156" s="341">
        <v>1.5433255484531918</v>
      </c>
      <c r="N156" s="341">
        <v>1.5433255484531918</v>
      </c>
      <c r="O156" s="341">
        <v>1.5433255484531918</v>
      </c>
    </row>
    <row r="157" spans="1:19" ht="12.75" customHeight="1" thickTop="1" thickBot="1">
      <c r="A157" s="853"/>
      <c r="B157" s="423" t="s">
        <v>124</v>
      </c>
      <c r="C157" s="503" t="s">
        <v>168</v>
      </c>
      <c r="D157" s="443">
        <f>SUM(E157:I157)</f>
        <v>152487.89287719998</v>
      </c>
      <c r="E157" s="357">
        <f>E155*E156*1.18</f>
        <v>0</v>
      </c>
      <c r="F157" s="357">
        <f>F155*F156*1.18</f>
        <v>20427.083586176508</v>
      </c>
      <c r="G157" s="357">
        <f>G155*G156*1.18</f>
        <v>11634.473377747592</v>
      </c>
      <c r="H157" s="357">
        <f>H155*H156*1.18</f>
        <v>41197.479501532456</v>
      </c>
      <c r="I157" s="357">
        <f>I155*I156*1.18</f>
        <v>79228.856411743429</v>
      </c>
      <c r="J157" s="251">
        <f>SUM(K157:O157)</f>
        <v>159682.80322180002</v>
      </c>
      <c r="K157" s="251">
        <f>K155*K156*1.18</f>
        <v>0</v>
      </c>
      <c r="L157" s="251">
        <f>L155*L156*1.18</f>
        <v>17224.534555318573</v>
      </c>
      <c r="M157" s="251">
        <f>M155*M156*1.18</f>
        <v>9274.7503565460866</v>
      </c>
      <c r="N157" s="251">
        <f>N155*N156*1.18</f>
        <v>35774.035268410771</v>
      </c>
      <c r="O157" s="251">
        <f>O155*O156*1.18</f>
        <v>97409.483041524581</v>
      </c>
    </row>
    <row r="158" spans="1:19" ht="12.75" customHeight="1" thickTop="1" thickBot="1">
      <c r="A158" s="853"/>
      <c r="B158" s="427" t="s">
        <v>126</v>
      </c>
      <c r="C158" s="505" t="s">
        <v>127</v>
      </c>
      <c r="D158" s="445">
        <f>SUM(E158:I158)</f>
        <v>76510</v>
      </c>
      <c r="E158" s="226">
        <f>E160*E45</f>
        <v>0</v>
      </c>
      <c r="F158" s="226">
        <f>F160*F45/100</f>
        <v>10710</v>
      </c>
      <c r="G158" s="226">
        <f>G160*G45/100</f>
        <v>6100</v>
      </c>
      <c r="H158" s="226">
        <f>H160*H45/100</f>
        <v>21600.000000000004</v>
      </c>
      <c r="I158" s="226">
        <f>I160*I45/100</f>
        <v>38100</v>
      </c>
      <c r="J158" s="299">
        <f>SUM(K158:O158)</f>
        <v>72755.294999999955</v>
      </c>
      <c r="K158" s="237">
        <v>0</v>
      </c>
      <c r="L158" s="237">
        <v>9458.1879999999801</v>
      </c>
      <c r="M158" s="237">
        <v>5092.8709999999928</v>
      </c>
      <c r="N158" s="237">
        <v>19643.929999999978</v>
      </c>
      <c r="O158" s="237">
        <v>38560.305999999997</v>
      </c>
    </row>
    <row r="159" spans="1:19" ht="12.75" customHeight="1" thickTop="1" thickBot="1">
      <c r="A159" s="853"/>
      <c r="B159" s="427" t="s">
        <v>128</v>
      </c>
      <c r="C159" s="505" t="s">
        <v>129</v>
      </c>
      <c r="D159" s="345">
        <f t="shared" ref="D159:O159" si="29">IF(D44=0,0,D158/D44*100)</f>
        <v>20.926098134675346</v>
      </c>
      <c r="E159" s="345">
        <f t="shared" si="29"/>
        <v>0</v>
      </c>
      <c r="F159" s="345">
        <f t="shared" si="29"/>
        <v>3.9882326655246887</v>
      </c>
      <c r="G159" s="345">
        <f t="shared" si="29"/>
        <v>5.3972270639969562</v>
      </c>
      <c r="H159" s="345">
        <f t="shared" si="29"/>
        <v>7.988756564834679</v>
      </c>
      <c r="I159" s="345">
        <f t="shared" si="29"/>
        <v>24.835408382765138</v>
      </c>
      <c r="J159" s="345">
        <f t="shared" si="29"/>
        <v>20.92999988124706</v>
      </c>
      <c r="K159" s="345">
        <f>IF(K44=0,0,K158/K44*100)</f>
        <v>0</v>
      </c>
      <c r="L159" s="345">
        <f t="shared" si="29"/>
        <v>3.52845371637427</v>
      </c>
      <c r="M159" s="345">
        <f t="shared" si="29"/>
        <v>5.1630415361042781</v>
      </c>
      <c r="N159" s="345">
        <f t="shared" si="29"/>
        <v>7.6174317037946917</v>
      </c>
      <c r="O159" s="345">
        <f t="shared" si="29"/>
        <v>26.313623171134093</v>
      </c>
      <c r="P159" s="25"/>
      <c r="Q159" s="25"/>
      <c r="R159" s="25"/>
      <c r="S159" s="25"/>
    </row>
    <row r="160" spans="1:19" ht="12.75" customHeight="1" thickTop="1" thickBot="1">
      <c r="A160" s="853"/>
      <c r="B160" s="429" t="s">
        <v>130</v>
      </c>
      <c r="C160" s="505" t="s">
        <v>131</v>
      </c>
      <c r="D160" s="345">
        <f>IF(D45=0,0,D158/D45*100)</f>
        <v>20.926098134675346</v>
      </c>
      <c r="E160" s="317">
        <v>0</v>
      </c>
      <c r="F160" s="317">
        <v>3.9882326655246887</v>
      </c>
      <c r="G160" s="317">
        <v>5.5789995481924954</v>
      </c>
      <c r="H160" s="317">
        <v>8.6251819374314938</v>
      </c>
      <c r="I160" s="317">
        <v>25.073690985514514</v>
      </c>
      <c r="J160" s="345">
        <f>IF(J45=0,0,J158/J45*100)</f>
        <v>20.92999988124706</v>
      </c>
      <c r="K160" s="345">
        <f>IF(K45=0,0,K158/K45*100)</f>
        <v>0</v>
      </c>
      <c r="L160" s="345">
        <f t="shared" ref="L160:O160" si="30">IF(L45=0,0,L158/L45*100)</f>
        <v>3.5284537163742691</v>
      </c>
      <c r="M160" s="345">
        <f t="shared" si="30"/>
        <v>5.3591599966339372</v>
      </c>
      <c r="N160" s="345">
        <f t="shared" si="30"/>
        <v>8.4764139252719009</v>
      </c>
      <c r="O160" s="345">
        <f t="shared" si="30"/>
        <v>26.577149160894848</v>
      </c>
      <c r="P160" s="25"/>
      <c r="Q160" s="25"/>
      <c r="R160" s="25"/>
      <c r="S160" s="25"/>
    </row>
    <row r="161" spans="1:15" ht="12.75" customHeight="1" thickTop="1" thickBot="1">
      <c r="A161" s="853"/>
      <c r="B161" s="430" t="s">
        <v>132</v>
      </c>
      <c r="C161" s="503" t="s">
        <v>133</v>
      </c>
      <c r="D161" s="443">
        <f>SUM(E161:I161)</f>
        <v>3440</v>
      </c>
      <c r="E161" s="251">
        <f>E151-E158</f>
        <v>0</v>
      </c>
      <c r="F161" s="251">
        <f>F151-F158</f>
        <v>0</v>
      </c>
      <c r="G161" s="251">
        <f>G151-G158</f>
        <v>0</v>
      </c>
      <c r="H161" s="251">
        <f>H151-H158</f>
        <v>0</v>
      </c>
      <c r="I161" s="251">
        <f>I151-I158</f>
        <v>3440</v>
      </c>
      <c r="J161" s="357">
        <f>SUM(K161:O161)</f>
        <v>14928.350000000079</v>
      </c>
      <c r="K161" s="251">
        <f>K151-K158</f>
        <v>0</v>
      </c>
      <c r="L161" s="251">
        <f>L151-L158</f>
        <v>0</v>
      </c>
      <c r="M161" s="251">
        <f>M151-M158</f>
        <v>0</v>
      </c>
      <c r="N161" s="251">
        <f>N151-N158</f>
        <v>0</v>
      </c>
      <c r="O161" s="251">
        <f>O151-O158</f>
        <v>14928.350000000079</v>
      </c>
    </row>
    <row r="162" spans="1:15" ht="12.75" customHeight="1" thickTop="1" thickBot="1">
      <c r="A162" s="853"/>
      <c r="B162" s="430" t="s">
        <v>134</v>
      </c>
      <c r="C162" s="503" t="s">
        <v>135</v>
      </c>
      <c r="D162" s="347">
        <f>IF(D44=0,0,D161/D44*100)</f>
        <v>0.94086756741972533</v>
      </c>
      <c r="E162" s="347">
        <f t="shared" ref="E162:I162" si="31">IF(E44=0,0,E161/E44*100)</f>
        <v>0</v>
      </c>
      <c r="F162" s="347">
        <f t="shared" si="31"/>
        <v>0</v>
      </c>
      <c r="G162" s="347">
        <f t="shared" si="31"/>
        <v>0</v>
      </c>
      <c r="H162" s="347">
        <f t="shared" si="31"/>
        <v>0</v>
      </c>
      <c r="I162" s="347">
        <f t="shared" si="31"/>
        <v>2.2423570823284011</v>
      </c>
      <c r="J162" s="347">
        <f>IF(J44=0,0,J161/J44*100)</f>
        <v>4.2945377889982632</v>
      </c>
      <c r="K162" s="347">
        <f>IF(K44=0,0,K161/K44*100)</f>
        <v>0</v>
      </c>
      <c r="L162" s="347">
        <f t="shared" ref="L162:O162" si="32">IF(L44=0,0,L161/L44*100)</f>
        <v>0</v>
      </c>
      <c r="M162" s="347">
        <f t="shared" si="32"/>
        <v>0</v>
      </c>
      <c r="N162" s="347">
        <f t="shared" si="32"/>
        <v>0</v>
      </c>
      <c r="O162" s="347">
        <f t="shared" si="32"/>
        <v>10.187133278112515</v>
      </c>
    </row>
    <row r="163" spans="1:15" ht="12.75" customHeight="1" thickTop="1" thickBot="1">
      <c r="A163" s="853"/>
      <c r="B163" s="430" t="s">
        <v>136</v>
      </c>
      <c r="C163" s="503" t="s">
        <v>137</v>
      </c>
      <c r="D163" s="347">
        <f>IF(D45=0,0,D161/D45*100)</f>
        <v>0.94086756741972533</v>
      </c>
      <c r="E163" s="347">
        <f t="shared" ref="E163:O163" si="33">IF(E45=0,0,E161/E45*100)</f>
        <v>0</v>
      </c>
      <c r="F163" s="347">
        <f t="shared" si="33"/>
        <v>0</v>
      </c>
      <c r="G163" s="347">
        <f t="shared" si="33"/>
        <v>0</v>
      </c>
      <c r="H163" s="347">
        <f t="shared" si="33"/>
        <v>0</v>
      </c>
      <c r="I163" s="347">
        <f t="shared" si="33"/>
        <v>2.263871312077951</v>
      </c>
      <c r="J163" s="347">
        <f t="shared" si="33"/>
        <v>4.2945377889982632</v>
      </c>
      <c r="K163" s="347">
        <f t="shared" si="33"/>
        <v>0</v>
      </c>
      <c r="L163" s="347">
        <f t="shared" si="33"/>
        <v>0</v>
      </c>
      <c r="M163" s="347">
        <f t="shared" si="33"/>
        <v>0</v>
      </c>
      <c r="N163" s="347">
        <f t="shared" si="33"/>
        <v>0</v>
      </c>
      <c r="O163" s="347">
        <f t="shared" si="33"/>
        <v>10.289155502968434</v>
      </c>
    </row>
    <row r="164" spans="1:15">
      <c r="A164" s="173" t="s">
        <v>210</v>
      </c>
      <c r="D164" s="95"/>
      <c r="E164" s="95"/>
      <c r="F164" s="601"/>
      <c r="G164" s="601"/>
      <c r="H164" s="601"/>
      <c r="I164" s="601"/>
      <c r="J164" s="388"/>
      <c r="K164" s="389"/>
      <c r="L164" s="388"/>
      <c r="M164" s="388"/>
      <c r="N164" s="388"/>
      <c r="O164" s="388"/>
    </row>
    <row r="165" spans="1:15" ht="13.5" thickBot="1">
      <c r="D165" s="95"/>
      <c r="E165" s="93"/>
      <c r="F165" s="342"/>
      <c r="G165" s="342"/>
      <c r="H165" s="342"/>
      <c r="I165" s="342"/>
      <c r="J165" s="175"/>
      <c r="K165" s="176"/>
      <c r="L165" s="176"/>
      <c r="M165" s="176"/>
      <c r="N165" s="176"/>
      <c r="O165" s="25"/>
    </row>
    <row r="166" spans="1:15" ht="12.75" customHeight="1" thickBot="1">
      <c r="B166" s="854" t="s">
        <v>138</v>
      </c>
      <c r="C166" s="855" t="s">
        <v>139</v>
      </c>
      <c r="D166" s="842" t="s">
        <v>140</v>
      </c>
      <c r="E166" s="843"/>
      <c r="F166" s="843"/>
      <c r="G166" s="843"/>
      <c r="H166" s="843"/>
      <c r="I166" s="844"/>
      <c r="J166" s="851" t="s">
        <v>140</v>
      </c>
      <c r="K166" s="851"/>
      <c r="L166" s="851"/>
      <c r="M166" s="851"/>
      <c r="N166" s="851"/>
      <c r="O166" s="851"/>
    </row>
    <row r="167" spans="1:15">
      <c r="B167" s="854"/>
      <c r="C167" s="855"/>
      <c r="D167" s="96" t="s">
        <v>141</v>
      </c>
      <c r="E167" s="97"/>
      <c r="F167" s="97" t="s">
        <v>5</v>
      </c>
      <c r="G167" s="98" t="s">
        <v>74</v>
      </c>
      <c r="H167" s="98" t="s">
        <v>76</v>
      </c>
      <c r="I167" s="99" t="s">
        <v>8</v>
      </c>
      <c r="J167" s="28" t="s">
        <v>141</v>
      </c>
      <c r="K167" s="29"/>
      <c r="L167" s="29" t="s">
        <v>5</v>
      </c>
      <c r="M167" s="30" t="s">
        <v>74</v>
      </c>
      <c r="N167" s="30" t="s">
        <v>76</v>
      </c>
      <c r="O167" s="31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>
        <f>D174+D175+D176</f>
        <v>365620</v>
      </c>
      <c r="E169" s="35"/>
      <c r="F169" s="36">
        <f>F170+F174+F175+F176</f>
        <v>268540</v>
      </c>
      <c r="G169" s="36">
        <f>G170+G174+G175+G176</f>
        <v>109711</v>
      </c>
      <c r="H169" s="36">
        <f>H170+H174+H175+H176</f>
        <v>252160</v>
      </c>
      <c r="I169" s="37">
        <f>I170+I174+I175+I176</f>
        <v>153410</v>
      </c>
      <c r="J169" s="34">
        <f>J174+J175+J176</f>
        <v>347612.49600000004</v>
      </c>
      <c r="K169" s="35"/>
      <c r="L169" s="36">
        <f>L170+L174+L175+L176</f>
        <v>268054.75599999999</v>
      </c>
      <c r="M169" s="36">
        <f>M170+M174+M175+M176</f>
        <v>95031.142999999996</v>
      </c>
      <c r="N169" s="36">
        <f>N170+N174+N175+N176</f>
        <v>232206.45900000006</v>
      </c>
      <c r="O169" s="37">
        <f>O170+O174+O175+O176</f>
        <v>146541.22600000008</v>
      </c>
    </row>
    <row r="170" spans="1:15" ht="12.75">
      <c r="B170" s="38" t="s">
        <v>12</v>
      </c>
      <c r="C170" s="39" t="s">
        <v>143</v>
      </c>
      <c r="D170" s="675">
        <f t="shared" ref="D170:D177" si="34">SUM(F170:I170)</f>
        <v>418201</v>
      </c>
      <c r="E170" s="676"/>
      <c r="F170" s="676"/>
      <c r="G170" s="677">
        <f>SUM(G171:G173)</f>
        <v>51881</v>
      </c>
      <c r="H170" s="677">
        <f>SUM(H171:H173)</f>
        <v>212870</v>
      </c>
      <c r="I170" s="678">
        <f>SUM(I171:I173)</f>
        <v>153450</v>
      </c>
      <c r="J170" s="675">
        <f t="shared" ref="J170:J177" si="35">SUM(L170:O170)</f>
        <v>394221.08800000011</v>
      </c>
      <c r="K170" s="676"/>
      <c r="L170" s="676"/>
      <c r="M170" s="677">
        <f>SUM(M171:M173)</f>
        <v>50918.225999999995</v>
      </c>
      <c r="N170" s="677">
        <f>SUM(N171:N173)</f>
        <v>196745.06500000006</v>
      </c>
      <c r="O170" s="678">
        <f>SUM(O171:O173)</f>
        <v>146557.79700000008</v>
      </c>
    </row>
    <row r="171" spans="1:15" ht="12.75">
      <c r="B171" s="40" t="s">
        <v>144</v>
      </c>
      <c r="C171" s="41" t="s">
        <v>145</v>
      </c>
      <c r="D171" s="42">
        <f t="shared" si="34"/>
        <v>166280</v>
      </c>
      <c r="E171" s="43"/>
      <c r="F171" s="44"/>
      <c r="G171" s="45">
        <f>G31-G49-G61-G73-G85-G97-G78-G109-G121-G54-G66-G90-G102-G114-G126</f>
        <v>51881</v>
      </c>
      <c r="H171" s="45">
        <f>H31-H49-H61-H73-H85-H97-H78-H54-H109-H66-H90-H102-H114-H121-H126</f>
        <v>114398.99999999999</v>
      </c>
      <c r="I171" s="46"/>
      <c r="J171" s="42">
        <f t="shared" si="35"/>
        <v>160134.98100000003</v>
      </c>
      <c r="K171" s="43"/>
      <c r="L171" s="44"/>
      <c r="M171" s="45">
        <f>M31-M49-M61-M73-M85-M97-M78-M109-M121-M54-M66-M90-M102-M114-M126</f>
        <v>50918.225999999995</v>
      </c>
      <c r="N171" s="45">
        <f>N31-N49-N61-N73-N85-N97-N78-N54-N109-N66-N90-N102-N114-N121-N126</f>
        <v>109216.75500000003</v>
      </c>
      <c r="O171" s="46"/>
    </row>
    <row r="172" spans="1:15" ht="12.75">
      <c r="B172" s="47" t="s">
        <v>146</v>
      </c>
      <c r="C172" s="48" t="s">
        <v>6</v>
      </c>
      <c r="D172" s="42">
        <f t="shared" si="34"/>
        <v>98471</v>
      </c>
      <c r="E172" s="43"/>
      <c r="F172" s="44"/>
      <c r="G172" s="49"/>
      <c r="H172" s="45">
        <f>H32-H50-H62-H74-H86-H98-H110-H55-H67-H79-H91-H103-H115-H122-H127</f>
        <v>98471</v>
      </c>
      <c r="I172" s="50">
        <f>I32-I50-I55-I62-I67-I74-I79-I86-I91-I98-I103-I110-I115-I122-I127</f>
        <v>0</v>
      </c>
      <c r="J172" s="42">
        <f t="shared" si="35"/>
        <v>87528.310000000012</v>
      </c>
      <c r="K172" s="43"/>
      <c r="L172" s="44"/>
      <c r="M172" s="49"/>
      <c r="N172" s="45">
        <f>N32-N50-N62-N74-N86-N98-N110-N55-N67-N79-N91-N103-N115-N122-N127</f>
        <v>87528.310000000012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>
        <f t="shared" si="34"/>
        <v>153450</v>
      </c>
      <c r="E173" s="54"/>
      <c r="F173" s="55"/>
      <c r="G173" s="56"/>
      <c r="H173" s="56"/>
      <c r="I173" s="57">
        <f>I33-I51-I87-I75-I99-I111-I56-I63-I68-I80-I92-I104-I116-I123-I128</f>
        <v>153450</v>
      </c>
      <c r="J173" s="53">
        <f t="shared" si="35"/>
        <v>146557.79700000008</v>
      </c>
      <c r="K173" s="54"/>
      <c r="L173" s="55"/>
      <c r="M173" s="56"/>
      <c r="N173" s="56"/>
      <c r="O173" s="57">
        <f>O33-O51-O87-O75-O99-O111-O56-O63-O68-O80-O92-O104-O116-O123-O128</f>
        <v>146557.79700000008</v>
      </c>
    </row>
    <row r="174" spans="1:15" ht="12.75">
      <c r="B174" s="58" t="s">
        <v>14</v>
      </c>
      <c r="C174" s="39" t="s">
        <v>148</v>
      </c>
      <c r="D174" s="110">
        <f t="shared" si="34"/>
        <v>226610</v>
      </c>
      <c r="E174" s="111"/>
      <c r="F174" s="111">
        <f>F28+E28</f>
        <v>185430</v>
      </c>
      <c r="G174" s="112">
        <f>G28</f>
        <v>38100</v>
      </c>
      <c r="H174" s="112">
        <f>H28</f>
        <v>3080</v>
      </c>
      <c r="I174" s="113">
        <f>I28</f>
        <v>0</v>
      </c>
      <c r="J174" s="110">
        <f t="shared" si="35"/>
        <v>236302.68300000002</v>
      </c>
      <c r="K174" s="111"/>
      <c r="L174" s="111">
        <f>L28+K28</f>
        <v>205169.58499999999</v>
      </c>
      <c r="M174" s="112">
        <f>M28</f>
        <v>28403.332999999999</v>
      </c>
      <c r="N174" s="112">
        <f>N28</f>
        <v>2729.7649999999999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>
        <f t="shared" si="34"/>
        <v>136210</v>
      </c>
      <c r="E175" s="124"/>
      <c r="F175" s="125">
        <f>F23+F24+F25+E23+E24+E25</f>
        <v>83110</v>
      </c>
      <c r="G175" s="125">
        <f>G23+G24+G25</f>
        <v>16930</v>
      </c>
      <c r="H175" s="125">
        <f>H23+H24+H25</f>
        <v>36210</v>
      </c>
      <c r="I175" s="126">
        <f>I23+I24+I25</f>
        <v>-40</v>
      </c>
      <c r="J175" s="123">
        <f t="shared" si="35"/>
        <v>109957.81300000001</v>
      </c>
      <c r="K175" s="124"/>
      <c r="L175" s="125">
        <f>L23+L24+L25+K23+K24+K25</f>
        <v>62885.171000000009</v>
      </c>
      <c r="M175" s="125">
        <f>M23+M24+M25</f>
        <v>14357.583999999999</v>
      </c>
      <c r="N175" s="125">
        <f>N23+N24+N25</f>
        <v>32731.628999999997</v>
      </c>
      <c r="O175" s="126">
        <f>O23+O24+O25</f>
        <v>-16.571000000000002</v>
      </c>
    </row>
    <row r="176" spans="1:15" ht="13.5" thickBot="1">
      <c r="B176" s="61" t="s">
        <v>20</v>
      </c>
      <c r="C176" s="62" t="s">
        <v>150</v>
      </c>
      <c r="D176" s="129">
        <f t="shared" si="34"/>
        <v>2800</v>
      </c>
      <c r="E176" s="130"/>
      <c r="F176" s="131">
        <f>F29+E29</f>
        <v>0</v>
      </c>
      <c r="G176" s="131">
        <f>G29</f>
        <v>2800</v>
      </c>
      <c r="H176" s="131">
        <f>H29</f>
        <v>0</v>
      </c>
      <c r="I176" s="132">
        <f>I29</f>
        <v>0</v>
      </c>
      <c r="J176" s="129">
        <f t="shared" si="35"/>
        <v>1351.9999999999995</v>
      </c>
      <c r="K176" s="130"/>
      <c r="L176" s="131">
        <f>L29+K29</f>
        <v>0</v>
      </c>
      <c r="M176" s="131">
        <f>M29</f>
        <v>1351.9999999999995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34"/>
        <v>79950.000000000015</v>
      </c>
      <c r="E177" s="136"/>
      <c r="F177" s="136">
        <f>F169-F180-G171-H171</f>
        <v>10710.000000000015</v>
      </c>
      <c r="G177" s="136">
        <f>G169-G180-H172-I172</f>
        <v>6100</v>
      </c>
      <c r="H177" s="136">
        <f>H169-H180-I173</f>
        <v>21600</v>
      </c>
      <c r="I177" s="137">
        <f>I169-I180</f>
        <v>41540</v>
      </c>
      <c r="J177" s="135">
        <f t="shared" si="35"/>
        <v>87683.645000000019</v>
      </c>
      <c r="K177" s="136"/>
      <c r="L177" s="136">
        <f>L169-L180-M171-N171</f>
        <v>9458.1879999999655</v>
      </c>
      <c r="M177" s="136">
        <f>M169-M180-N172-O172</f>
        <v>5092.8709999999846</v>
      </c>
      <c r="N177" s="136">
        <f>N169-N180-O173</f>
        <v>19643.929999999993</v>
      </c>
      <c r="O177" s="137">
        <f>O169-O180</f>
        <v>53488.656000000075</v>
      </c>
    </row>
    <row r="178" spans="1:15" ht="13.5" thickBot="1">
      <c r="B178" s="64"/>
      <c r="C178" s="65" t="s">
        <v>152</v>
      </c>
      <c r="D178" s="441">
        <f>IF(D169=0,0,D177/D169*100)</f>
        <v>21.866965702095076</v>
      </c>
      <c r="E178" s="140"/>
      <c r="F178" s="441">
        <f t="shared" ref="F178:I178" si="36">IF(F169=0,0,F177/F169*100)</f>
        <v>3.9882326655246945</v>
      </c>
      <c r="G178" s="441">
        <f t="shared" si="36"/>
        <v>5.560062345617121</v>
      </c>
      <c r="H178" s="441">
        <f t="shared" si="36"/>
        <v>8.5659898477157359</v>
      </c>
      <c r="I178" s="441">
        <f t="shared" si="36"/>
        <v>27.077765465093538</v>
      </c>
      <c r="J178" s="441">
        <f>IF(J169=0,0,J177/J169*100)</f>
        <v>25.224537670245322</v>
      </c>
      <c r="K178" s="140"/>
      <c r="L178" s="441">
        <f t="shared" ref="L178:O178" si="37">IF(L169=0,0,L177/L169*100)</f>
        <v>3.5284537163742642</v>
      </c>
      <c r="M178" s="441">
        <f t="shared" si="37"/>
        <v>5.3591599966339301</v>
      </c>
      <c r="N178" s="441">
        <f t="shared" si="37"/>
        <v>8.4596828549028373</v>
      </c>
      <c r="O178" s="441">
        <f t="shared" si="37"/>
        <v>36.500756449246609</v>
      </c>
    </row>
    <row r="179" spans="1:15" ht="26.25" thickBot="1">
      <c r="B179" s="66" t="s">
        <v>38</v>
      </c>
      <c r="C179" s="67" t="s">
        <v>153</v>
      </c>
      <c r="D179" s="143">
        <f t="shared" ref="D179:D184" si="38">SUM(F179:I179)</f>
        <v>0</v>
      </c>
      <c r="E179" s="144"/>
      <c r="F179" s="144"/>
      <c r="G179" s="145"/>
      <c r="H179" s="145"/>
      <c r="I179" s="146"/>
      <c r="J179" s="143">
        <f t="shared" ref="J179:J184" si="39">SUM(L179:O179)</f>
        <v>0</v>
      </c>
      <c r="K179" s="144"/>
      <c r="L179" s="144"/>
      <c r="M179" s="145"/>
      <c r="N179" s="145"/>
      <c r="O179" s="146"/>
    </row>
    <row r="180" spans="1:15" s="83" customFormat="1" ht="13.5" thickBot="1">
      <c r="B180" s="147" t="s">
        <v>52</v>
      </c>
      <c r="C180" s="148" t="s">
        <v>154</v>
      </c>
      <c r="D180" s="143">
        <f t="shared" si="38"/>
        <v>285670</v>
      </c>
      <c r="E180" s="144"/>
      <c r="F180" s="682">
        <f>F143+E143</f>
        <v>91550.000000000015</v>
      </c>
      <c r="G180" s="682">
        <f>G143+G194</f>
        <v>5140</v>
      </c>
      <c r="H180" s="682">
        <f>H143+H194</f>
        <v>77110</v>
      </c>
      <c r="I180" s="683">
        <f>I143+I194</f>
        <v>111870</v>
      </c>
      <c r="J180" s="143">
        <f t="shared" si="39"/>
        <v>259928.85100000002</v>
      </c>
      <c r="K180" s="144"/>
      <c r="L180" s="682">
        <f>L143+K143</f>
        <v>98461.587</v>
      </c>
      <c r="M180" s="682">
        <f>M143+M194</f>
        <v>2409.962</v>
      </c>
      <c r="N180" s="682">
        <f>N143+N194</f>
        <v>66004.732000000004</v>
      </c>
      <c r="O180" s="683">
        <f>O143+O194</f>
        <v>93052.57</v>
      </c>
    </row>
    <row r="181" spans="1:15" ht="12.75">
      <c r="B181" s="70" t="s">
        <v>54</v>
      </c>
      <c r="C181" s="71" t="s">
        <v>155</v>
      </c>
      <c r="D181" s="151">
        <f t="shared" si="38"/>
        <v>0</v>
      </c>
      <c r="E181" s="152"/>
      <c r="F181" s="152"/>
      <c r="G181" s="153"/>
      <c r="H181" s="153"/>
      <c r="I181" s="154"/>
      <c r="J181" s="151">
        <f t="shared" si="39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8"/>
        <v>0</v>
      </c>
      <c r="E182" s="158"/>
      <c r="F182" s="159"/>
      <c r="G182" s="159"/>
      <c r="H182" s="159"/>
      <c r="I182" s="160"/>
      <c r="J182" s="157">
        <f t="shared" si="39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8"/>
        <v>0</v>
      </c>
      <c r="E183" s="164"/>
      <c r="F183" s="164"/>
      <c r="G183" s="165"/>
      <c r="H183" s="165"/>
      <c r="I183" s="166"/>
      <c r="J183" s="163">
        <f t="shared" si="39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8"/>
        <v>0</v>
      </c>
      <c r="E184" s="111"/>
      <c r="F184" s="111"/>
      <c r="G184" s="112"/>
      <c r="H184" s="112"/>
      <c r="I184" s="113"/>
      <c r="J184" s="110">
        <f t="shared" si="39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6" spans="1:15">
      <c r="N186" s="24"/>
      <c r="O186" s="24"/>
    </row>
    <row r="188" spans="1:15" ht="12.75" customHeight="1">
      <c r="A188" s="832" t="s">
        <v>211</v>
      </c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483"/>
      <c r="B194" s="484"/>
      <c r="C194" s="483" t="s">
        <v>193</v>
      </c>
      <c r="D194" s="483"/>
      <c r="E194" s="483"/>
      <c r="F194" s="519"/>
      <c r="G194" s="483">
        <v>372.4</v>
      </c>
      <c r="H194" s="483">
        <v>1730.5</v>
      </c>
      <c r="I194" s="483">
        <v>1457.9</v>
      </c>
      <c r="J194" s="483"/>
      <c r="K194" s="483"/>
      <c r="L194" s="483"/>
      <c r="M194" s="483"/>
      <c r="N194" s="483">
        <v>458.33800000000002</v>
      </c>
      <c r="O194" s="483">
        <v>1453.0309999999999</v>
      </c>
    </row>
    <row r="195" spans="1:15">
      <c r="A195" s="483"/>
      <c r="B195" s="484"/>
      <c r="C195" s="483" t="s">
        <v>196</v>
      </c>
      <c r="D195" s="483"/>
      <c r="E195" s="483"/>
      <c r="F195" s="510">
        <v>13144.827778138224</v>
      </c>
      <c r="G195" s="483"/>
      <c r="H195" s="483"/>
      <c r="I195" s="483"/>
      <c r="J195" s="483"/>
      <c r="K195" s="483"/>
      <c r="L195" s="510">
        <v>10721.196400000001</v>
      </c>
      <c r="M195" s="483"/>
      <c r="N195" s="483"/>
      <c r="O195" s="483"/>
    </row>
    <row r="197" spans="1:15">
      <c r="L197" s="24"/>
      <c r="M197" s="321"/>
      <c r="N197" s="701"/>
      <c r="O197" s="701"/>
    </row>
    <row r="198" spans="1:15">
      <c r="L198" s="24"/>
      <c r="M198" s="24"/>
      <c r="N198" s="24"/>
      <c r="O198" s="24"/>
    </row>
    <row r="199" spans="1:15">
      <c r="L199" s="702"/>
      <c r="M199" s="702"/>
      <c r="N199" s="702"/>
      <c r="O199" s="702"/>
    </row>
    <row r="201" spans="1:15">
      <c r="N201" s="24"/>
      <c r="O201" s="24"/>
    </row>
  </sheetData>
  <mergeCells count="25">
    <mergeCell ref="A188:O188"/>
    <mergeCell ref="D166:I166"/>
    <mergeCell ref="J166:O166"/>
    <mergeCell ref="A46:A150"/>
    <mergeCell ref="A151:A163"/>
    <mergeCell ref="B166:B167"/>
    <mergeCell ref="C166:C167"/>
    <mergeCell ref="A6:A29"/>
    <mergeCell ref="A30:A43"/>
    <mergeCell ref="I4:I5"/>
    <mergeCell ref="J4:J5"/>
    <mergeCell ref="K4:L4"/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</mergeCells>
  <phoneticPr fontId="0" type="noConversion"/>
  <pageMargins left="0.47244094488188981" right="0.27559055118110237" top="0.74803149606299213" bottom="0.55118110236220474" header="0.51181102362204722" footer="0.51181102362204722"/>
  <pageSetup paperSize="9" scale="66" firstPageNumber="0" orientation="landscape" horizontalDpi="300" verticalDpi="300" r:id="rId1"/>
  <headerFooter alignWithMargins="0"/>
  <rowBreaks count="2" manualBreakCount="2">
    <brk id="56" max="14" man="1"/>
    <brk id="11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01"/>
  <sheetViews>
    <sheetView view="pageBreakPreview" zoomScale="90" zoomScaleSheetLayoutView="90" workbookViewId="0">
      <pane xSplit="3" ySplit="5" topLeftCell="F46" activePane="bottomRight" state="frozen"/>
      <selection pane="topRight" activeCell="D1" sqref="D1"/>
      <selection pane="bottomLeft" activeCell="A63" sqref="A63"/>
      <selection pane="bottomRight" activeCell="N57" sqref="N57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3.85546875" style="1" customWidth="1"/>
    <col min="5" max="5" width="10.5703125" style="1" customWidth="1"/>
    <col min="6" max="6" width="11.85546875" style="1" customWidth="1"/>
    <col min="7" max="7" width="11.140625" style="1" customWidth="1"/>
    <col min="8" max="8" width="12.5703125" style="1" customWidth="1"/>
    <col min="9" max="9" width="11.85546875" style="1" customWidth="1"/>
    <col min="10" max="10" width="14.42578125" style="1" customWidth="1"/>
    <col min="11" max="11" width="10.42578125" style="1" customWidth="1"/>
    <col min="12" max="12" width="12.42578125" style="1" customWidth="1"/>
    <col min="13" max="13" width="13.28515625" style="1" customWidth="1"/>
    <col min="14" max="14" width="13" style="1" customWidth="1"/>
    <col min="15" max="15" width="12.7109375" style="1" customWidth="1"/>
    <col min="16" max="17" width="11.42578125" style="1" bestFit="1" customWidth="1"/>
    <col min="18" max="16384" width="9.140625" style="1"/>
  </cols>
  <sheetData>
    <row r="1" spans="1:15" ht="15.75">
      <c r="A1" s="817" t="s">
        <v>216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.75" thickBot="1">
      <c r="A3" s="856"/>
      <c r="B3" s="857" t="s">
        <v>0</v>
      </c>
      <c r="C3" s="858" t="s">
        <v>1</v>
      </c>
      <c r="D3" s="867" t="s">
        <v>2</v>
      </c>
      <c r="E3" s="867"/>
      <c r="F3" s="867"/>
      <c r="G3" s="867"/>
      <c r="H3" s="867"/>
      <c r="I3" s="867"/>
      <c r="J3" s="867" t="s">
        <v>3</v>
      </c>
      <c r="K3" s="867"/>
      <c r="L3" s="867"/>
      <c r="M3" s="867"/>
      <c r="N3" s="867"/>
      <c r="O3" s="867"/>
    </row>
    <row r="4" spans="1:15" s="3" customFormat="1" ht="12.75" customHeight="1" thickTop="1" thickBot="1">
      <c r="A4" s="856"/>
      <c r="B4" s="857"/>
      <c r="C4" s="858"/>
      <c r="D4" s="865" t="s">
        <v>4</v>
      </c>
      <c r="E4" s="866" t="s">
        <v>5</v>
      </c>
      <c r="F4" s="866"/>
      <c r="G4" s="868" t="s">
        <v>6</v>
      </c>
      <c r="H4" s="868" t="s">
        <v>7</v>
      </c>
      <c r="I4" s="864" t="s">
        <v>8</v>
      </c>
      <c r="J4" s="865" t="s">
        <v>4</v>
      </c>
      <c r="K4" s="866" t="s">
        <v>5</v>
      </c>
      <c r="L4" s="866"/>
      <c r="M4" s="868" t="s">
        <v>6</v>
      </c>
      <c r="N4" s="868" t="s">
        <v>7</v>
      </c>
      <c r="O4" s="864" t="s">
        <v>8</v>
      </c>
    </row>
    <row r="5" spans="1:15" s="6" customFormat="1" ht="13.5" thickTop="1" thickBot="1">
      <c r="A5" s="856"/>
      <c r="B5" s="857"/>
      <c r="C5" s="858"/>
      <c r="D5" s="865"/>
      <c r="E5" s="4">
        <v>220</v>
      </c>
      <c r="F5" s="4">
        <v>110</v>
      </c>
      <c r="G5" s="868"/>
      <c r="H5" s="868"/>
      <c r="I5" s="864"/>
      <c r="J5" s="865"/>
      <c r="K5" s="5">
        <v>220</v>
      </c>
      <c r="L5" s="178">
        <v>110</v>
      </c>
      <c r="M5" s="868"/>
      <c r="N5" s="868"/>
      <c r="O5" s="864"/>
    </row>
    <row r="6" spans="1:15" ht="13.5" thickTop="1" thickBot="1">
      <c r="A6" s="862" t="s">
        <v>9</v>
      </c>
      <c r="B6" s="179" t="s">
        <v>10</v>
      </c>
      <c r="C6" s="179" t="s">
        <v>11</v>
      </c>
      <c r="D6" s="180">
        <f t="shared" ref="D6:I6" si="0">SUM(D7:D9,D12,D14)</f>
        <v>1526920</v>
      </c>
      <c r="E6" s="181">
        <f t="shared" si="0"/>
        <v>0</v>
      </c>
      <c r="F6" s="181">
        <f t="shared" si="0"/>
        <v>1224210</v>
      </c>
      <c r="G6" s="181">
        <f t="shared" si="0"/>
        <v>178040</v>
      </c>
      <c r="H6" s="181">
        <f t="shared" si="0"/>
        <v>124640</v>
      </c>
      <c r="I6" s="181">
        <f t="shared" si="0"/>
        <v>30</v>
      </c>
      <c r="J6" s="180">
        <f t="shared" ref="J6:O6" si="1">SUM(J7:J9,J12,J14)</f>
        <v>1426613.953</v>
      </c>
      <c r="K6" s="181">
        <f t="shared" si="1"/>
        <v>0</v>
      </c>
      <c r="L6" s="181">
        <f t="shared" si="1"/>
        <v>1179269.875</v>
      </c>
      <c r="M6" s="181">
        <f t="shared" si="1"/>
        <v>135649.88899999997</v>
      </c>
      <c r="N6" s="181">
        <f t="shared" si="1"/>
        <v>111673.35500000001</v>
      </c>
      <c r="O6" s="181">
        <f t="shared" si="1"/>
        <v>20.834</v>
      </c>
    </row>
    <row r="7" spans="1:15" ht="13.5" thickTop="1" thickBot="1">
      <c r="A7" s="862"/>
      <c r="B7" s="182" t="s">
        <v>12</v>
      </c>
      <c r="C7" s="182" t="s">
        <v>13</v>
      </c>
      <c r="D7" s="183">
        <f>SUM(E7:I7)</f>
        <v>0</v>
      </c>
      <c r="E7" s="235">
        <v>0</v>
      </c>
      <c r="F7" s="235">
        <v>0</v>
      </c>
      <c r="G7" s="235">
        <v>0</v>
      </c>
      <c r="H7" s="235">
        <v>0</v>
      </c>
      <c r="I7" s="235">
        <v>0</v>
      </c>
      <c r="J7" s="183">
        <f>SUM(K7:O7)</f>
        <v>0</v>
      </c>
      <c r="K7" s="440">
        <f>январь!K7+февраль!K7+март!K7</f>
        <v>0</v>
      </c>
      <c r="L7" s="440">
        <f>январь!L7+февраль!L7+март!L7</f>
        <v>0</v>
      </c>
      <c r="M7" s="440">
        <f>январь!M7+февраль!M7+март!M7</f>
        <v>0</v>
      </c>
      <c r="N7" s="440">
        <f>январь!N7+февраль!N7+март!N7</f>
        <v>0</v>
      </c>
      <c r="O7" s="440">
        <f>январь!O7+февраль!O7+март!O7</f>
        <v>0</v>
      </c>
    </row>
    <row r="8" spans="1:15" ht="13.5" thickTop="1" thickBot="1">
      <c r="A8" s="862"/>
      <c r="B8" s="182" t="s">
        <v>14</v>
      </c>
      <c r="C8" s="182" t="s">
        <v>15</v>
      </c>
      <c r="D8" s="183">
        <f>SUM(E8:I8)</f>
        <v>770490</v>
      </c>
      <c r="E8" s="184">
        <f>январь!E8+февраль!E8+март!E8</f>
        <v>0</v>
      </c>
      <c r="F8" s="184">
        <f>январь!F8+февраль!F8+март!F8</f>
        <v>600730</v>
      </c>
      <c r="G8" s="184">
        <f>январь!G8+февраль!G8+март!G8</f>
        <v>55010</v>
      </c>
      <c r="H8" s="184">
        <f>январь!H8+февраль!H8+март!H8</f>
        <v>114720</v>
      </c>
      <c r="I8" s="184">
        <f>январь!I8+февраль!I8+март!I8</f>
        <v>30</v>
      </c>
      <c r="J8" s="183">
        <f>SUM(K8:O8)</f>
        <v>603668.91400000011</v>
      </c>
      <c r="K8" s="334">
        <f>январь!K8+февраль!K8+март!K8</f>
        <v>0</v>
      </c>
      <c r="L8" s="334">
        <f>январь!L8+февраль!L8+март!L8</f>
        <v>455329.27</v>
      </c>
      <c r="M8" s="334">
        <f>январь!M8+февраль!M8+март!M8</f>
        <v>45148.156000000003</v>
      </c>
      <c r="N8" s="334">
        <f>январь!N8+февраль!N8+март!N8</f>
        <v>103170.65400000001</v>
      </c>
      <c r="O8" s="334">
        <f>январь!O8+февраль!O8+март!O8</f>
        <v>20.834</v>
      </c>
    </row>
    <row r="9" spans="1:15" ht="13.5" thickTop="1" thickBot="1">
      <c r="A9" s="862"/>
      <c r="B9" s="182" t="s">
        <v>16</v>
      </c>
      <c r="C9" s="182" t="s">
        <v>17</v>
      </c>
      <c r="D9" s="183">
        <f t="shared" ref="D9:I9" si="2">SUM(D10:D11)</f>
        <v>50200</v>
      </c>
      <c r="E9" s="185">
        <f t="shared" si="2"/>
        <v>0</v>
      </c>
      <c r="F9" s="185">
        <f t="shared" si="2"/>
        <v>50200</v>
      </c>
      <c r="G9" s="185">
        <f t="shared" si="2"/>
        <v>0</v>
      </c>
      <c r="H9" s="185">
        <f t="shared" si="2"/>
        <v>0</v>
      </c>
      <c r="I9" s="185">
        <f t="shared" si="2"/>
        <v>0</v>
      </c>
      <c r="J9" s="183">
        <f t="shared" ref="J9:O9" si="3">SUM(J10:J11)</f>
        <v>47907.94</v>
      </c>
      <c r="K9" s="185">
        <f t="shared" si="3"/>
        <v>0</v>
      </c>
      <c r="L9" s="185">
        <f t="shared" si="3"/>
        <v>47907.94</v>
      </c>
      <c r="M9" s="185">
        <f t="shared" si="3"/>
        <v>0</v>
      </c>
      <c r="N9" s="185">
        <f t="shared" si="3"/>
        <v>0</v>
      </c>
      <c r="O9" s="185">
        <f t="shared" si="3"/>
        <v>0</v>
      </c>
    </row>
    <row r="10" spans="1:15" ht="13.5" thickTop="1" thickBot="1">
      <c r="A10" s="862"/>
      <c r="B10" s="186" t="s">
        <v>18</v>
      </c>
      <c r="C10" s="187" t="s">
        <v>192</v>
      </c>
      <c r="D10" s="188">
        <f>SUM(F10:I10)</f>
        <v>47110</v>
      </c>
      <c r="E10" s="235"/>
      <c r="F10" s="184">
        <f>январь!F10+февраль!F10+март!F10</f>
        <v>47110</v>
      </c>
      <c r="G10" s="235"/>
      <c r="H10" s="235"/>
      <c r="I10" s="235"/>
      <c r="J10" s="188">
        <f>SUM(L10:O10)</f>
        <v>44193.46</v>
      </c>
      <c r="K10" s="440"/>
      <c r="L10" s="334">
        <f>январь!L10+февраль!L10+март!L10</f>
        <v>44193.46</v>
      </c>
      <c r="M10" s="440"/>
      <c r="N10" s="440"/>
      <c r="O10" s="440"/>
    </row>
    <row r="11" spans="1:15" ht="13.5" thickTop="1" thickBot="1">
      <c r="A11" s="862"/>
      <c r="B11" s="186" t="s">
        <v>19</v>
      </c>
      <c r="C11" s="187" t="s">
        <v>191</v>
      </c>
      <c r="D11" s="188">
        <f>SUM(F11:I11)</f>
        <v>3090</v>
      </c>
      <c r="E11" s="235"/>
      <c r="F11" s="184">
        <f>январь!F11+февраль!F11+март!F11</f>
        <v>3090</v>
      </c>
      <c r="G11" s="235"/>
      <c r="H11" s="235"/>
      <c r="I11" s="235"/>
      <c r="J11" s="188">
        <f>SUM(L11:O11)</f>
        <v>3714.4800000000005</v>
      </c>
      <c r="K11" s="440"/>
      <c r="L11" s="334">
        <f>январь!L11+февраль!L11+март!L11</f>
        <v>3714.4800000000005</v>
      </c>
      <c r="M11" s="440"/>
      <c r="N11" s="440"/>
      <c r="O11" s="440"/>
    </row>
    <row r="12" spans="1:15" ht="13.5" thickTop="1" thickBot="1">
      <c r="A12" s="862"/>
      <c r="B12" s="182" t="s">
        <v>20</v>
      </c>
      <c r="C12" s="182" t="s">
        <v>21</v>
      </c>
      <c r="D12" s="183">
        <f>SUM(E12:I12)</f>
        <v>698530</v>
      </c>
      <c r="E12" s="235"/>
      <c r="F12" s="184">
        <f>январь!F12+февраль!F12+март!F12</f>
        <v>573280</v>
      </c>
      <c r="G12" s="184">
        <f>январь!G12+февраль!G12+март!G12</f>
        <v>115330</v>
      </c>
      <c r="H12" s="184">
        <f>январь!H12+февраль!H12+март!H12</f>
        <v>9920</v>
      </c>
      <c r="I12" s="235"/>
      <c r="J12" s="183">
        <f>SUM(K12:O12)</f>
        <v>773261.299</v>
      </c>
      <c r="K12" s="440"/>
      <c r="L12" s="334">
        <f>январь!L12+февраль!L12+март!L12</f>
        <v>676032.66500000004</v>
      </c>
      <c r="M12" s="334">
        <f>январь!M12+февраль!M12+март!M12</f>
        <v>88725.93299999999</v>
      </c>
      <c r="N12" s="334">
        <f>январь!N12+февраль!N12+март!N12</f>
        <v>8502.7009999999991</v>
      </c>
      <c r="O12" s="334">
        <f>январь!O12+февраль!O12+март!O12</f>
        <v>0</v>
      </c>
    </row>
    <row r="13" spans="1:15" ht="13.5" thickTop="1" thickBot="1">
      <c r="A13" s="862"/>
      <c r="B13" s="186" t="s">
        <v>22</v>
      </c>
      <c r="C13" s="187" t="s">
        <v>23</v>
      </c>
      <c r="D13" s="183">
        <f>SUM(E13:I13)</f>
        <v>0</v>
      </c>
      <c r="E13" s="235"/>
      <c r="F13" s="235"/>
      <c r="G13" s="235"/>
      <c r="H13" s="184"/>
      <c r="I13" s="235"/>
      <c r="J13" s="183">
        <f>SUM(K13:O13)</f>
        <v>0</v>
      </c>
      <c r="K13" s="440"/>
      <c r="L13" s="440"/>
      <c r="M13" s="440"/>
      <c r="N13" s="334"/>
      <c r="O13" s="440"/>
    </row>
    <row r="14" spans="1:15" ht="13.5" thickTop="1" thickBot="1">
      <c r="A14" s="862"/>
      <c r="B14" s="182" t="s">
        <v>24</v>
      </c>
      <c r="C14" s="182" t="s">
        <v>25</v>
      </c>
      <c r="D14" s="183">
        <f>SUM(E14:I14)</f>
        <v>7700</v>
      </c>
      <c r="E14" s="235"/>
      <c r="F14" s="235"/>
      <c r="G14" s="184">
        <f>январь!G14+февраль!G14+март!G14</f>
        <v>7700</v>
      </c>
      <c r="H14" s="235"/>
      <c r="I14" s="235"/>
      <c r="J14" s="183">
        <f>SUM(K14:O14)</f>
        <v>1775.7999999999993</v>
      </c>
      <c r="K14" s="440"/>
      <c r="L14" s="440"/>
      <c r="M14" s="334">
        <f>январь!M14+февраль!M14+март!M14</f>
        <v>1775.7999999999993</v>
      </c>
      <c r="N14" s="440"/>
      <c r="O14" s="440"/>
    </row>
    <row r="15" spans="1:15" ht="13.5" thickTop="1" thickBot="1">
      <c r="A15" s="862"/>
      <c r="B15" s="179" t="s">
        <v>26</v>
      </c>
      <c r="C15" s="179" t="s">
        <v>27</v>
      </c>
      <c r="D15" s="180">
        <f t="shared" ref="D15:I15" si="4">SUM(D16:D18,D21)</f>
        <v>388690</v>
      </c>
      <c r="E15" s="189">
        <f t="shared" si="4"/>
        <v>0</v>
      </c>
      <c r="F15" s="189">
        <f t="shared" si="4"/>
        <v>387330</v>
      </c>
      <c r="G15" s="189">
        <f t="shared" si="4"/>
        <v>1090</v>
      </c>
      <c r="H15" s="189">
        <f t="shared" si="4"/>
        <v>110</v>
      </c>
      <c r="I15" s="189">
        <f t="shared" si="4"/>
        <v>160</v>
      </c>
      <c r="J15" s="180">
        <f t="shared" ref="J15:O15" si="5">SUM(J16:J18,J21)</f>
        <v>340531.25099999993</v>
      </c>
      <c r="K15" s="189">
        <f>SUM(K16:K18,K21)</f>
        <v>0</v>
      </c>
      <c r="L15" s="189">
        <f t="shared" si="5"/>
        <v>339533.08</v>
      </c>
      <c r="M15" s="189">
        <f t="shared" si="5"/>
        <v>747.71399999999994</v>
      </c>
      <c r="N15" s="189">
        <f t="shared" si="5"/>
        <v>138.137</v>
      </c>
      <c r="O15" s="189">
        <f t="shared" si="5"/>
        <v>112.32000000000001</v>
      </c>
    </row>
    <row r="16" spans="1:15" ht="13.5" thickTop="1" thickBot="1">
      <c r="A16" s="862"/>
      <c r="B16" s="182" t="s">
        <v>28</v>
      </c>
      <c r="C16" s="182" t="s">
        <v>29</v>
      </c>
      <c r="D16" s="183">
        <f>SUM(E16:I16)</f>
        <v>0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183">
        <f>SUM(K16:O16)</f>
        <v>0</v>
      </c>
      <c r="K16" s="440">
        <f>январь!K16+февраль!K16+март!K16</f>
        <v>0</v>
      </c>
      <c r="L16" s="440">
        <f>январь!L16+февраль!L16+март!L16</f>
        <v>0</v>
      </c>
      <c r="M16" s="440">
        <f>январь!M16+февраль!M16+март!M16</f>
        <v>0</v>
      </c>
      <c r="N16" s="440">
        <f>январь!N16+февраль!N16+март!N16</f>
        <v>0</v>
      </c>
      <c r="O16" s="440">
        <f>январь!O16+февраль!O16+март!O16</f>
        <v>0</v>
      </c>
    </row>
    <row r="17" spans="1:15" ht="13.5" thickTop="1" thickBot="1">
      <c r="A17" s="862"/>
      <c r="B17" s="182" t="s">
        <v>30</v>
      </c>
      <c r="C17" s="182" t="s">
        <v>31</v>
      </c>
      <c r="D17" s="183">
        <f>SUM(E17:I17)</f>
        <v>374040</v>
      </c>
      <c r="E17" s="184">
        <f>январь!E17+февраль!E17+март!E17</f>
        <v>0</v>
      </c>
      <c r="F17" s="184">
        <f>январь!F17+февраль!F17+март!F17</f>
        <v>373770</v>
      </c>
      <c r="G17" s="184">
        <f>январь!G17+февраль!G17+март!G17</f>
        <v>0</v>
      </c>
      <c r="H17" s="184">
        <f>январь!H17+февраль!H17+март!H17</f>
        <v>110</v>
      </c>
      <c r="I17" s="184">
        <f>январь!I17+февраль!I17+март!I17</f>
        <v>160</v>
      </c>
      <c r="J17" s="183">
        <f>SUM(K17:O17)</f>
        <v>327548.97599999997</v>
      </c>
      <c r="K17" s="334">
        <f>январь!K17+февраль!K17+март!K17</f>
        <v>0</v>
      </c>
      <c r="L17" s="334">
        <f>январь!L17+февраль!L17+март!L17</f>
        <v>327298.24599999998</v>
      </c>
      <c r="M17" s="334">
        <f>январь!M17+февраль!M17+март!M17</f>
        <v>0.27300000000000002</v>
      </c>
      <c r="N17" s="334">
        <f>январь!N17+февраль!N17+март!N17</f>
        <v>138.137</v>
      </c>
      <c r="O17" s="334">
        <f>январь!O17+февраль!O17+март!O17</f>
        <v>112.32000000000001</v>
      </c>
    </row>
    <row r="18" spans="1:15" ht="13.5" thickTop="1" thickBot="1">
      <c r="A18" s="862"/>
      <c r="B18" s="182" t="s">
        <v>32</v>
      </c>
      <c r="C18" s="182" t="s">
        <v>33</v>
      </c>
      <c r="D18" s="183">
        <f>SUM(D19:D20)</f>
        <v>7710</v>
      </c>
      <c r="E18" s="185"/>
      <c r="F18" s="185">
        <f>SUM(F19:F20)</f>
        <v>7130</v>
      </c>
      <c r="G18" s="185">
        <f>SUM(G19:G20)</f>
        <v>580</v>
      </c>
      <c r="H18" s="185"/>
      <c r="I18" s="185"/>
      <c r="J18" s="183">
        <f t="shared" ref="J18:O18" si="6">SUM(J19:J20)</f>
        <v>8408.6639999999989</v>
      </c>
      <c r="K18" s="185">
        <f t="shared" si="6"/>
        <v>0</v>
      </c>
      <c r="L18" s="185">
        <f t="shared" si="6"/>
        <v>7938.0639999999994</v>
      </c>
      <c r="M18" s="185">
        <f t="shared" si="6"/>
        <v>470.59999999999997</v>
      </c>
      <c r="N18" s="185">
        <f t="shared" si="6"/>
        <v>0</v>
      </c>
      <c r="O18" s="185">
        <f t="shared" si="6"/>
        <v>0</v>
      </c>
    </row>
    <row r="19" spans="1:15" ht="13.5" thickTop="1" thickBot="1">
      <c r="A19" s="862"/>
      <c r="B19" s="186" t="s">
        <v>34</v>
      </c>
      <c r="C19" s="187" t="s">
        <v>192</v>
      </c>
      <c r="D19" s="188">
        <f>SUM(E19:I19)</f>
        <v>40</v>
      </c>
      <c r="E19" s="235"/>
      <c r="F19" s="184">
        <f>январь!F19+февраль!F19+март!F19</f>
        <v>40</v>
      </c>
      <c r="G19" s="235"/>
      <c r="H19" s="235"/>
      <c r="I19" s="235"/>
      <c r="J19" s="188">
        <f>SUM(K19:O19)</f>
        <v>127.756</v>
      </c>
      <c r="K19" s="440"/>
      <c r="L19" s="334">
        <f>январь!L19+февраль!L19+март!L19</f>
        <v>127.756</v>
      </c>
      <c r="M19" s="334">
        <f>январь!M19+февраль!M19+март!M19</f>
        <v>0</v>
      </c>
      <c r="N19" s="440"/>
      <c r="O19" s="440"/>
    </row>
    <row r="20" spans="1:15" ht="13.5" thickTop="1" thickBot="1">
      <c r="A20" s="862"/>
      <c r="B20" s="190" t="s">
        <v>35</v>
      </c>
      <c r="C20" s="187" t="s">
        <v>191</v>
      </c>
      <c r="D20" s="188">
        <f>SUM(E20:I20)</f>
        <v>7670</v>
      </c>
      <c r="E20" s="235"/>
      <c r="F20" s="184">
        <f>январь!F20+февраль!F20+март!F20</f>
        <v>7090</v>
      </c>
      <c r="G20" s="184">
        <f>январь!G20+февраль!G20+март!G20</f>
        <v>580</v>
      </c>
      <c r="H20" s="235"/>
      <c r="I20" s="235"/>
      <c r="J20" s="188">
        <f>SUM(K20:O20)</f>
        <v>8280.9079999999994</v>
      </c>
      <c r="K20" s="440"/>
      <c r="L20" s="334">
        <f>январь!L20+февраль!L20+март!L20</f>
        <v>7810.3079999999991</v>
      </c>
      <c r="M20" s="334">
        <f>январь!M20+февраль!M20+март!M20</f>
        <v>470.59999999999997</v>
      </c>
      <c r="N20" s="440"/>
      <c r="O20" s="440"/>
    </row>
    <row r="21" spans="1:15" ht="13.5" thickTop="1" thickBot="1">
      <c r="A21" s="862"/>
      <c r="B21" s="182" t="s">
        <v>36</v>
      </c>
      <c r="C21" s="182" t="s">
        <v>37</v>
      </c>
      <c r="D21" s="183">
        <f>SUM(E21:I21)</f>
        <v>6940</v>
      </c>
      <c r="E21" s="235"/>
      <c r="F21" s="184">
        <f>январь!F21+февраль!F21+март!F21</f>
        <v>6430</v>
      </c>
      <c r="G21" s="184">
        <f>январь!G21+февраль!G21+март!G21</f>
        <v>510</v>
      </c>
      <c r="H21" s="235"/>
      <c r="I21" s="235"/>
      <c r="J21" s="183">
        <f>SUM(K21:O21)</f>
        <v>4573.6110000000008</v>
      </c>
      <c r="K21" s="440"/>
      <c r="L21" s="334">
        <f>январь!L21+февраль!L21+март!L21</f>
        <v>4296.7700000000004</v>
      </c>
      <c r="M21" s="334">
        <f>январь!M21+февраль!M21+март!M21</f>
        <v>276.84100000000001</v>
      </c>
      <c r="N21" s="440"/>
      <c r="O21" s="440"/>
    </row>
    <row r="22" spans="1:15" s="17" customFormat="1" ht="13.5" thickTop="1" thickBot="1">
      <c r="A22" s="862"/>
      <c r="B22" s="191" t="s">
        <v>38</v>
      </c>
      <c r="C22" s="191" t="s">
        <v>39</v>
      </c>
      <c r="D22" s="192">
        <f>SUM(E22:I22)</f>
        <v>1138230</v>
      </c>
      <c r="E22" s="192">
        <f>SUM(E23:E25,E28,E29)</f>
        <v>0</v>
      </c>
      <c r="F22" s="192">
        <f>SUM(F23:F25,F28,F29)</f>
        <v>836880</v>
      </c>
      <c r="G22" s="192">
        <f>SUM(G23:G25,G28,G29)</f>
        <v>176950</v>
      </c>
      <c r="H22" s="192">
        <f>SUM(H23:H25,H28,H29)</f>
        <v>124530</v>
      </c>
      <c r="I22" s="192">
        <f>SUM(I23:I25,I28,I29)</f>
        <v>-130</v>
      </c>
      <c r="J22" s="533">
        <f>SUM(K22:O22)</f>
        <v>1086082.702</v>
      </c>
      <c r="K22" s="192">
        <f>SUM(K23:K25,K28,K29)</f>
        <v>0</v>
      </c>
      <c r="L22" s="192">
        <f>SUM(L23:L25,L28,L29)</f>
        <v>839736.79500000004</v>
      </c>
      <c r="M22" s="192">
        <f>SUM(M23:M25,M28,M29)</f>
        <v>134902.17499999999</v>
      </c>
      <c r="N22" s="192">
        <f>SUM(N23:N25,N28,N29)</f>
        <v>111535.21800000001</v>
      </c>
      <c r="O22" s="192">
        <f>SUM(O23:O25,O28,O29)</f>
        <v>-91.486000000000004</v>
      </c>
    </row>
    <row r="23" spans="1:15" ht="13.5" thickTop="1" thickBot="1">
      <c r="A23" s="862"/>
      <c r="B23" s="182" t="s">
        <v>40</v>
      </c>
      <c r="C23" s="182" t="s">
        <v>41</v>
      </c>
      <c r="D23" s="183">
        <f>SUM(E23:I23)</f>
        <v>0</v>
      </c>
      <c r="E23" s="183">
        <f t="shared" ref="E23:I28" si="7">E7-E16</f>
        <v>0</v>
      </c>
      <c r="F23" s="183">
        <f t="shared" si="7"/>
        <v>0</v>
      </c>
      <c r="G23" s="183">
        <f t="shared" si="7"/>
        <v>0</v>
      </c>
      <c r="H23" s="183">
        <f t="shared" si="7"/>
        <v>0</v>
      </c>
      <c r="I23" s="183">
        <f t="shared" si="7"/>
        <v>0</v>
      </c>
      <c r="J23" s="183">
        <f>SUM(K23:O23)</f>
        <v>0</v>
      </c>
      <c r="K23" s="183">
        <f t="shared" ref="K23:K28" si="8">K7-K16</f>
        <v>0</v>
      </c>
      <c r="L23" s="183">
        <f t="shared" ref="L23:O25" si="9">L7-L16</f>
        <v>0</v>
      </c>
      <c r="M23" s="183">
        <f t="shared" si="9"/>
        <v>0</v>
      </c>
      <c r="N23" s="183">
        <f t="shared" si="9"/>
        <v>0</v>
      </c>
      <c r="O23" s="183">
        <f t="shared" si="9"/>
        <v>0</v>
      </c>
    </row>
    <row r="24" spans="1:15" ht="13.5" thickTop="1" thickBot="1">
      <c r="A24" s="862"/>
      <c r="B24" s="182" t="s">
        <v>42</v>
      </c>
      <c r="C24" s="182" t="s">
        <v>43</v>
      </c>
      <c r="D24" s="183">
        <f t="shared" ref="D24:D29" si="10">SUM(E24:I24)</f>
        <v>396450</v>
      </c>
      <c r="E24" s="183">
        <f t="shared" si="7"/>
        <v>0</v>
      </c>
      <c r="F24" s="183">
        <f t="shared" si="7"/>
        <v>226960</v>
      </c>
      <c r="G24" s="183">
        <f t="shared" si="7"/>
        <v>55010</v>
      </c>
      <c r="H24" s="183">
        <f t="shared" si="7"/>
        <v>114610</v>
      </c>
      <c r="I24" s="183">
        <f t="shared" si="7"/>
        <v>-130</v>
      </c>
      <c r="J24" s="183">
        <f t="shared" ref="J24:J43" si="11">SUM(K24:O24)</f>
        <v>276119.93800000008</v>
      </c>
      <c r="K24" s="183">
        <f t="shared" si="8"/>
        <v>0</v>
      </c>
      <c r="L24" s="183">
        <f t="shared" si="9"/>
        <v>128031.02400000003</v>
      </c>
      <c r="M24" s="183">
        <f t="shared" si="9"/>
        <v>45147.883000000002</v>
      </c>
      <c r="N24" s="183">
        <f t="shared" si="9"/>
        <v>103032.51700000001</v>
      </c>
      <c r="O24" s="183">
        <f t="shared" si="9"/>
        <v>-91.486000000000004</v>
      </c>
    </row>
    <row r="25" spans="1:15" ht="13.5" thickTop="1" thickBot="1">
      <c r="A25" s="862"/>
      <c r="B25" s="182" t="s">
        <v>44</v>
      </c>
      <c r="C25" s="182" t="s">
        <v>45</v>
      </c>
      <c r="D25" s="183">
        <f t="shared" si="10"/>
        <v>42490</v>
      </c>
      <c r="E25" s="183">
        <f t="shared" si="7"/>
        <v>0</v>
      </c>
      <c r="F25" s="183">
        <f t="shared" si="7"/>
        <v>43070</v>
      </c>
      <c r="G25" s="183">
        <f>G9-G18</f>
        <v>-580</v>
      </c>
      <c r="H25" s="183">
        <f>H9-H18</f>
        <v>0</v>
      </c>
      <c r="I25" s="183">
        <f>I9-I18</f>
        <v>0</v>
      </c>
      <c r="J25" s="183">
        <f t="shared" si="11"/>
        <v>39499.276000000005</v>
      </c>
      <c r="K25" s="183">
        <f t="shared" si="8"/>
        <v>0</v>
      </c>
      <c r="L25" s="183">
        <f t="shared" si="9"/>
        <v>39969.876000000004</v>
      </c>
      <c r="M25" s="183">
        <f>M9-M18</f>
        <v>-470.59999999999997</v>
      </c>
      <c r="N25" s="183">
        <f t="shared" si="9"/>
        <v>0</v>
      </c>
      <c r="O25" s="183">
        <f t="shared" si="9"/>
        <v>0</v>
      </c>
    </row>
    <row r="26" spans="1:15" ht="13.5" thickTop="1" thickBot="1">
      <c r="A26" s="862"/>
      <c r="B26" s="186" t="s">
        <v>46</v>
      </c>
      <c r="C26" s="187" t="s">
        <v>192</v>
      </c>
      <c r="D26" s="183">
        <f t="shared" si="10"/>
        <v>47070</v>
      </c>
      <c r="E26" s="188">
        <f t="shared" si="7"/>
        <v>0</v>
      </c>
      <c r="F26" s="188">
        <f t="shared" si="7"/>
        <v>47070</v>
      </c>
      <c r="G26" s="188">
        <f t="shared" si="7"/>
        <v>0</v>
      </c>
      <c r="H26" s="188">
        <f t="shared" si="7"/>
        <v>0</v>
      </c>
      <c r="I26" s="188">
        <f t="shared" si="7"/>
        <v>0</v>
      </c>
      <c r="J26" s="183">
        <f t="shared" si="11"/>
        <v>44065.703999999998</v>
      </c>
      <c r="K26" s="188">
        <f t="shared" si="8"/>
        <v>0</v>
      </c>
      <c r="L26" s="188">
        <f t="shared" ref="L26:O28" si="12">L10-L19</f>
        <v>44065.703999999998</v>
      </c>
      <c r="M26" s="188">
        <f t="shared" si="12"/>
        <v>0</v>
      </c>
      <c r="N26" s="188">
        <f t="shared" si="12"/>
        <v>0</v>
      </c>
      <c r="O26" s="188">
        <f t="shared" si="12"/>
        <v>0</v>
      </c>
    </row>
    <row r="27" spans="1:15" ht="13.5" thickTop="1" thickBot="1">
      <c r="A27" s="862"/>
      <c r="B27" s="186" t="s">
        <v>47</v>
      </c>
      <c r="C27" s="187" t="s">
        <v>191</v>
      </c>
      <c r="D27" s="183">
        <f t="shared" si="10"/>
        <v>-4580</v>
      </c>
      <c r="E27" s="188">
        <f t="shared" si="7"/>
        <v>0</v>
      </c>
      <c r="F27" s="188">
        <f t="shared" si="7"/>
        <v>-4000</v>
      </c>
      <c r="G27" s="188">
        <f t="shared" si="7"/>
        <v>-580</v>
      </c>
      <c r="H27" s="188">
        <f t="shared" si="7"/>
        <v>0</v>
      </c>
      <c r="I27" s="188">
        <f t="shared" si="7"/>
        <v>0</v>
      </c>
      <c r="J27" s="183">
        <f t="shared" si="11"/>
        <v>-4566.427999999999</v>
      </c>
      <c r="K27" s="188">
        <f t="shared" si="8"/>
        <v>0</v>
      </c>
      <c r="L27" s="188">
        <f t="shared" si="12"/>
        <v>-4095.8279999999986</v>
      </c>
      <c r="M27" s="188">
        <f t="shared" si="12"/>
        <v>-470.59999999999997</v>
      </c>
      <c r="N27" s="188">
        <f t="shared" si="12"/>
        <v>0</v>
      </c>
      <c r="O27" s="188">
        <f t="shared" si="12"/>
        <v>0</v>
      </c>
    </row>
    <row r="28" spans="1:15" ht="13.5" thickTop="1" thickBot="1">
      <c r="A28" s="862"/>
      <c r="B28" s="182" t="s">
        <v>48</v>
      </c>
      <c r="C28" s="182" t="s">
        <v>49</v>
      </c>
      <c r="D28" s="183">
        <f t="shared" si="10"/>
        <v>691590</v>
      </c>
      <c r="E28" s="183">
        <f t="shared" si="7"/>
        <v>0</v>
      </c>
      <c r="F28" s="183">
        <f t="shared" si="7"/>
        <v>566850</v>
      </c>
      <c r="G28" s="183">
        <f t="shared" si="7"/>
        <v>114820</v>
      </c>
      <c r="H28" s="183">
        <f t="shared" si="7"/>
        <v>9920</v>
      </c>
      <c r="I28" s="183">
        <f t="shared" si="7"/>
        <v>0</v>
      </c>
      <c r="J28" s="183">
        <f t="shared" si="11"/>
        <v>768687.68799999997</v>
      </c>
      <c r="K28" s="183">
        <f t="shared" si="8"/>
        <v>0</v>
      </c>
      <c r="L28" s="183">
        <f t="shared" si="12"/>
        <v>671735.89500000002</v>
      </c>
      <c r="M28" s="183">
        <f t="shared" si="12"/>
        <v>88449.09199999999</v>
      </c>
      <c r="N28" s="183">
        <f t="shared" si="12"/>
        <v>8502.7009999999991</v>
      </c>
      <c r="O28" s="183">
        <f t="shared" si="12"/>
        <v>0</v>
      </c>
    </row>
    <row r="29" spans="1:15" ht="13.5" thickTop="1" thickBot="1">
      <c r="A29" s="862"/>
      <c r="B29" s="182" t="s">
        <v>50</v>
      </c>
      <c r="C29" s="182" t="s">
        <v>25</v>
      </c>
      <c r="D29" s="183">
        <f t="shared" si="10"/>
        <v>7700</v>
      </c>
      <c r="E29" s="183">
        <f>E14</f>
        <v>0</v>
      </c>
      <c r="F29" s="183">
        <f>F14</f>
        <v>0</v>
      </c>
      <c r="G29" s="183">
        <f>G14</f>
        <v>7700</v>
      </c>
      <c r="H29" s="183">
        <f>H14</f>
        <v>0</v>
      </c>
      <c r="I29" s="183">
        <f>I14</f>
        <v>0</v>
      </c>
      <c r="J29" s="183">
        <f t="shared" si="11"/>
        <v>1775.7999999999993</v>
      </c>
      <c r="K29" s="183">
        <f>K14</f>
        <v>0</v>
      </c>
      <c r="L29" s="183">
        <f>L14</f>
        <v>0</v>
      </c>
      <c r="M29" s="183">
        <f>M14</f>
        <v>1775.7999999999993</v>
      </c>
      <c r="N29" s="183">
        <f>N14</f>
        <v>0</v>
      </c>
      <c r="O29" s="183">
        <f>O14</f>
        <v>0</v>
      </c>
    </row>
    <row r="30" spans="1:15" ht="13.5" thickTop="1" thickBot="1">
      <c r="A30" s="862" t="s">
        <v>51</v>
      </c>
      <c r="B30" s="193" t="s">
        <v>52</v>
      </c>
      <c r="C30" s="193" t="s">
        <v>53</v>
      </c>
      <c r="D30" s="194">
        <f>SUM(F30:I30)</f>
        <v>1357646</v>
      </c>
      <c r="E30" s="194"/>
      <c r="F30" s="194">
        <f>SUM(F31:F33)</f>
        <v>0</v>
      </c>
      <c r="G30" s="194">
        <f>SUM(G31:G33)</f>
        <v>172536</v>
      </c>
      <c r="H30" s="194">
        <f>SUM(H31:H33)</f>
        <v>717630</v>
      </c>
      <c r="I30" s="194">
        <f>SUM(I31:I33)</f>
        <v>467480</v>
      </c>
      <c r="J30" s="194">
        <f>SUM(L30:O30)</f>
        <v>1343645.3656000001</v>
      </c>
      <c r="K30" s="194"/>
      <c r="L30" s="194">
        <f>SUM(L31:L33)</f>
        <v>0</v>
      </c>
      <c r="M30" s="194">
        <f>SUM(M31:M33)</f>
        <v>175243.10199999998</v>
      </c>
      <c r="N30" s="194">
        <f>SUM(N31:N33)</f>
        <v>694830.86360000004</v>
      </c>
      <c r="O30" s="194">
        <f>SUM(O31:O33)</f>
        <v>473571.40000000008</v>
      </c>
    </row>
    <row r="31" spans="1:15" ht="13.5" thickTop="1" thickBot="1">
      <c r="A31" s="862"/>
      <c r="B31" s="182" t="s">
        <v>54</v>
      </c>
      <c r="C31" s="182" t="s">
        <v>55</v>
      </c>
      <c r="D31" s="183">
        <f t="shared" ref="D31:D43" si="13">SUM(E31:I31)</f>
        <v>575120</v>
      </c>
      <c r="E31" s="195"/>
      <c r="F31" s="235">
        <f>январь!F31+февраль!F31+март!F31</f>
        <v>0</v>
      </c>
      <c r="G31" s="184">
        <f>январь!G31+февраль!G31+март!G31</f>
        <v>172536</v>
      </c>
      <c r="H31" s="184">
        <f>январь!H31+февраль!H31+март!H31</f>
        <v>402584</v>
      </c>
      <c r="I31" s="195"/>
      <c r="J31" s="183">
        <f t="shared" si="11"/>
        <v>590411.25860000006</v>
      </c>
      <c r="K31" s="195"/>
      <c r="L31" s="196"/>
      <c r="M31" s="183">
        <f>L36</f>
        <v>175243.10199999998</v>
      </c>
      <c r="N31" s="183">
        <f>L37</f>
        <v>415168.15660000005</v>
      </c>
      <c r="O31" s="195"/>
    </row>
    <row r="32" spans="1:15" ht="13.5" thickTop="1" thickBot="1">
      <c r="A32" s="862"/>
      <c r="B32" s="182" t="s">
        <v>56</v>
      </c>
      <c r="C32" s="182" t="s">
        <v>57</v>
      </c>
      <c r="D32" s="183">
        <f t="shared" si="13"/>
        <v>315046</v>
      </c>
      <c r="E32" s="195"/>
      <c r="F32" s="195"/>
      <c r="G32" s="195"/>
      <c r="H32" s="184">
        <f>январь!H32+февраль!H32+март!H32</f>
        <v>315046</v>
      </c>
      <c r="I32" s="235"/>
      <c r="J32" s="183">
        <f t="shared" si="11"/>
        <v>279662.70700000005</v>
      </c>
      <c r="K32" s="195"/>
      <c r="L32" s="195"/>
      <c r="M32" s="195"/>
      <c r="N32" s="183">
        <f>M37</f>
        <v>279662.70700000005</v>
      </c>
      <c r="O32" s="196">
        <f>M43</f>
        <v>0</v>
      </c>
    </row>
    <row r="33" spans="1:17" ht="13.5" thickTop="1" thickBot="1">
      <c r="A33" s="862"/>
      <c r="B33" s="182" t="s">
        <v>58</v>
      </c>
      <c r="C33" s="182" t="s">
        <v>59</v>
      </c>
      <c r="D33" s="183">
        <f t="shared" si="13"/>
        <v>467480</v>
      </c>
      <c r="E33" s="195"/>
      <c r="F33" s="195"/>
      <c r="G33" s="195"/>
      <c r="H33" s="195"/>
      <c r="I33" s="184">
        <f>январь!I33+февраль!I33+март!I33</f>
        <v>467480</v>
      </c>
      <c r="J33" s="183">
        <f t="shared" si="11"/>
        <v>473571.40000000008</v>
      </c>
      <c r="K33" s="195"/>
      <c r="L33" s="195"/>
      <c r="M33" s="195"/>
      <c r="N33" s="195"/>
      <c r="O33" s="183">
        <f>M38+N38</f>
        <v>473571.40000000008</v>
      </c>
    </row>
    <row r="34" spans="1:17" ht="13.5" thickTop="1" thickBot="1">
      <c r="A34" s="862"/>
      <c r="B34" s="193" t="s">
        <v>60</v>
      </c>
      <c r="C34" s="193" t="s">
        <v>61</v>
      </c>
      <c r="D34" s="194">
        <f t="shared" si="13"/>
        <v>1357646</v>
      </c>
      <c r="E34" s="194"/>
      <c r="F34" s="194">
        <f>SUM(F35:F38)</f>
        <v>575120</v>
      </c>
      <c r="G34" s="194">
        <f>SUM(G35:G38)</f>
        <v>315046</v>
      </c>
      <c r="H34" s="194">
        <f>SUM(H35:H38)</f>
        <v>467480</v>
      </c>
      <c r="I34" s="197">
        <f>SUM(I35:I38)</f>
        <v>0</v>
      </c>
      <c r="J34" s="194">
        <f t="shared" si="11"/>
        <v>1343645.3656000001</v>
      </c>
      <c r="K34" s="194"/>
      <c r="L34" s="194">
        <f>SUM(L35:L38)</f>
        <v>590411.25860000006</v>
      </c>
      <c r="M34" s="194">
        <f>SUM(M35:M38)</f>
        <v>279662.70700000005</v>
      </c>
      <c r="N34" s="194">
        <f>SUM(N35:N38)</f>
        <v>473571.40000000008</v>
      </c>
      <c r="O34" s="197">
        <f>SUM(O35:O38)</f>
        <v>0</v>
      </c>
    </row>
    <row r="35" spans="1:17" ht="13.5" thickTop="1" thickBot="1">
      <c r="A35" s="862"/>
      <c r="B35" s="182" t="s">
        <v>62</v>
      </c>
      <c r="C35" s="182" t="s">
        <v>63</v>
      </c>
      <c r="D35" s="183">
        <f t="shared" si="13"/>
        <v>0</v>
      </c>
      <c r="E35" s="196"/>
      <c r="F35" s="195"/>
      <c r="G35" s="195"/>
      <c r="H35" s="195"/>
      <c r="I35" s="195"/>
      <c r="J35" s="183">
        <f t="shared" si="11"/>
        <v>0</v>
      </c>
      <c r="K35" s="196"/>
      <c r="L35" s="195"/>
      <c r="M35" s="195"/>
      <c r="N35" s="195"/>
      <c r="O35" s="195"/>
    </row>
    <row r="36" spans="1:17" ht="13.5" thickTop="1" thickBot="1">
      <c r="A36" s="862"/>
      <c r="B36" s="182" t="s">
        <v>64</v>
      </c>
      <c r="C36" s="182" t="s">
        <v>65</v>
      </c>
      <c r="D36" s="183">
        <f t="shared" si="13"/>
        <v>172536</v>
      </c>
      <c r="E36" s="183"/>
      <c r="F36" s="185">
        <f>G31</f>
        <v>172536</v>
      </c>
      <c r="G36" s="195"/>
      <c r="H36" s="195"/>
      <c r="I36" s="195"/>
      <c r="J36" s="183">
        <f t="shared" si="11"/>
        <v>175243.10199999998</v>
      </c>
      <c r="K36" s="183"/>
      <c r="L36" s="468">
        <f>январь!L36+февраль!L36+март!L36</f>
        <v>175243.10199999998</v>
      </c>
      <c r="M36" s="615"/>
      <c r="N36" s="615"/>
      <c r="O36" s="195"/>
    </row>
    <row r="37" spans="1:17" ht="13.5" thickTop="1" thickBot="1">
      <c r="A37" s="862"/>
      <c r="B37" s="182" t="s">
        <v>66</v>
      </c>
      <c r="C37" s="182" t="s">
        <v>67</v>
      </c>
      <c r="D37" s="183">
        <f t="shared" si="13"/>
        <v>717630</v>
      </c>
      <c r="E37" s="183"/>
      <c r="F37" s="185">
        <f>H31</f>
        <v>402584</v>
      </c>
      <c r="G37" s="185">
        <f>H32</f>
        <v>315046</v>
      </c>
      <c r="H37" s="195"/>
      <c r="I37" s="195"/>
      <c r="J37" s="183">
        <f t="shared" si="11"/>
        <v>694830.86360000004</v>
      </c>
      <c r="K37" s="183"/>
      <c r="L37" s="468">
        <f>январь!L37+февраль!L37+март!L37</f>
        <v>415168.15660000005</v>
      </c>
      <c r="M37" s="468">
        <f>январь!M37+февраль!M37+март!M37</f>
        <v>279662.70700000005</v>
      </c>
      <c r="N37" s="615"/>
      <c r="O37" s="195"/>
    </row>
    <row r="38" spans="1:17" ht="13.5" thickTop="1" thickBot="1">
      <c r="A38" s="862"/>
      <c r="B38" s="182" t="s">
        <v>68</v>
      </c>
      <c r="C38" s="182" t="s">
        <v>69</v>
      </c>
      <c r="D38" s="183">
        <f t="shared" si="13"/>
        <v>467480</v>
      </c>
      <c r="E38" s="195"/>
      <c r="F38" s="195"/>
      <c r="G38" s="196"/>
      <c r="H38" s="185">
        <f>I33</f>
        <v>467480</v>
      </c>
      <c r="I38" s="195"/>
      <c r="J38" s="183">
        <f t="shared" si="11"/>
        <v>473571.40000000008</v>
      </c>
      <c r="K38" s="195"/>
      <c r="L38" s="615"/>
      <c r="M38" s="463"/>
      <c r="N38" s="468">
        <f>январь!N38+февраль!N38+март!N38</f>
        <v>473571.40000000008</v>
      </c>
      <c r="O38" s="195"/>
    </row>
    <row r="39" spans="1:17" s="17" customFormat="1" ht="13.5" thickTop="1" thickBot="1">
      <c r="A39" s="862"/>
      <c r="B39" s="191" t="s">
        <v>70</v>
      </c>
      <c r="C39" s="191" t="s">
        <v>71</v>
      </c>
      <c r="D39" s="198">
        <f t="shared" si="13"/>
        <v>0</v>
      </c>
      <c r="E39" s="198"/>
      <c r="F39" s="198">
        <f>SUM(F40:F43)</f>
        <v>-575120</v>
      </c>
      <c r="G39" s="198">
        <f>SUM(G40:G43)</f>
        <v>-142510</v>
      </c>
      <c r="H39" s="198">
        <f>SUM(H40:H43)</f>
        <v>250150</v>
      </c>
      <c r="I39" s="198">
        <f>SUM(I40:I43)</f>
        <v>467480</v>
      </c>
      <c r="J39" s="198">
        <f t="shared" si="11"/>
        <v>0</v>
      </c>
      <c r="K39" s="198"/>
      <c r="L39" s="198">
        <f>SUM(L40:L43)</f>
        <v>-590411.25860000006</v>
      </c>
      <c r="M39" s="198">
        <f>SUM(M40:M43)</f>
        <v>-104419.60500000007</v>
      </c>
      <c r="N39" s="198">
        <f>SUM(N40:N43)</f>
        <v>221259.46359999996</v>
      </c>
      <c r="O39" s="198">
        <f>SUM(O40:O43)</f>
        <v>473571.40000000008</v>
      </c>
    </row>
    <row r="40" spans="1:17" ht="13.5" thickTop="1" thickBot="1">
      <c r="A40" s="862"/>
      <c r="B40" s="182" t="s">
        <v>72</v>
      </c>
      <c r="C40" s="182" t="s">
        <v>5</v>
      </c>
      <c r="D40" s="183">
        <f t="shared" si="13"/>
        <v>575120</v>
      </c>
      <c r="E40" s="196"/>
      <c r="F40" s="196">
        <f>F31-F35</f>
        <v>0</v>
      </c>
      <c r="G40" s="196">
        <f>G31-G35</f>
        <v>172536</v>
      </c>
      <c r="H40" s="196">
        <f>H31-H35</f>
        <v>402584</v>
      </c>
      <c r="I40" s="195"/>
      <c r="J40" s="183">
        <f t="shared" si="11"/>
        <v>590411.25860000006</v>
      </c>
      <c r="K40" s="196"/>
      <c r="L40" s="196">
        <f>L31-L35</f>
        <v>0</v>
      </c>
      <c r="M40" s="196">
        <f>M31-M35</f>
        <v>175243.10199999998</v>
      </c>
      <c r="N40" s="196">
        <f>N31-N35</f>
        <v>415168.15660000005</v>
      </c>
      <c r="O40" s="195"/>
    </row>
    <row r="41" spans="1:17" ht="13.5" thickTop="1" thickBot="1">
      <c r="A41" s="862"/>
      <c r="B41" s="182" t="s">
        <v>73</v>
      </c>
      <c r="C41" s="182" t="s">
        <v>74</v>
      </c>
      <c r="D41" s="183">
        <f t="shared" si="13"/>
        <v>142510</v>
      </c>
      <c r="E41" s="196">
        <f>E32-E36</f>
        <v>0</v>
      </c>
      <c r="F41" s="196">
        <f>F32-F36</f>
        <v>-172536</v>
      </c>
      <c r="G41" s="195"/>
      <c r="H41" s="196">
        <f>H32-H36</f>
        <v>315046</v>
      </c>
      <c r="I41" s="195"/>
      <c r="J41" s="183">
        <f t="shared" si="11"/>
        <v>104419.60500000007</v>
      </c>
      <c r="K41" s="196">
        <f>K32-K36</f>
        <v>0</v>
      </c>
      <c r="L41" s="196">
        <f>L32-L36</f>
        <v>-175243.10199999998</v>
      </c>
      <c r="M41" s="195"/>
      <c r="N41" s="196">
        <f>N32-N36</f>
        <v>279662.70700000005</v>
      </c>
      <c r="O41" s="195"/>
    </row>
    <row r="42" spans="1:17" ht="13.5" thickTop="1" thickBot="1">
      <c r="A42" s="862"/>
      <c r="B42" s="182" t="s">
        <v>75</v>
      </c>
      <c r="C42" s="182" t="s">
        <v>76</v>
      </c>
      <c r="D42" s="183">
        <f t="shared" si="13"/>
        <v>-250150</v>
      </c>
      <c r="E42" s="196">
        <f>E33-E37</f>
        <v>0</v>
      </c>
      <c r="F42" s="196">
        <f>F33-F37</f>
        <v>-402584</v>
      </c>
      <c r="G42" s="196">
        <f>G33-G37</f>
        <v>-315046</v>
      </c>
      <c r="H42" s="195"/>
      <c r="I42" s="196">
        <f>I33-I37</f>
        <v>467480</v>
      </c>
      <c r="J42" s="183">
        <f t="shared" si="11"/>
        <v>-221259.46359999996</v>
      </c>
      <c r="K42" s="196">
        <f>K33-K37</f>
        <v>0</v>
      </c>
      <c r="L42" s="196">
        <f>L33-L37</f>
        <v>-415168.15660000005</v>
      </c>
      <c r="M42" s="196">
        <f>M33-M37</f>
        <v>-279662.70700000005</v>
      </c>
      <c r="N42" s="195"/>
      <c r="O42" s="196">
        <f>O33-O37</f>
        <v>473571.40000000008</v>
      </c>
    </row>
    <row r="43" spans="1:17" ht="13.5" thickTop="1" thickBot="1">
      <c r="A43" s="862"/>
      <c r="B43" s="199" t="s">
        <v>77</v>
      </c>
      <c r="C43" s="199" t="s">
        <v>8</v>
      </c>
      <c r="D43" s="196">
        <f t="shared" si="13"/>
        <v>-467480</v>
      </c>
      <c r="E43" s="195"/>
      <c r="F43" s="195"/>
      <c r="G43" s="196"/>
      <c r="H43" s="196">
        <f>-H38</f>
        <v>-467480</v>
      </c>
      <c r="I43" s="195"/>
      <c r="J43" s="196">
        <f t="shared" si="11"/>
        <v>-473571.40000000008</v>
      </c>
      <c r="K43" s="195"/>
      <c r="L43" s="195"/>
      <c r="M43" s="196"/>
      <c r="N43" s="196">
        <f>-N38</f>
        <v>-473571.40000000008</v>
      </c>
      <c r="O43" s="195"/>
    </row>
    <row r="44" spans="1:17" ht="13.5" thickTop="1" thickBot="1">
      <c r="A44" s="177"/>
      <c r="B44" s="200" t="s">
        <v>78</v>
      </c>
      <c r="C44" s="200" t="s">
        <v>79</v>
      </c>
      <c r="D44" s="201">
        <f>D22</f>
        <v>1138230</v>
      </c>
      <c r="E44" s="201">
        <f>E22+E30</f>
        <v>0</v>
      </c>
      <c r="F44" s="201">
        <f>F22+F30</f>
        <v>836880</v>
      </c>
      <c r="G44" s="201">
        <f>G22+G30</f>
        <v>349486</v>
      </c>
      <c r="H44" s="201">
        <f>H22+H30</f>
        <v>842160</v>
      </c>
      <c r="I44" s="201">
        <f>I22+I30</f>
        <v>467350</v>
      </c>
      <c r="J44" s="201">
        <f>J22</f>
        <v>1086082.702</v>
      </c>
      <c r="K44" s="201">
        <f>K22+K30</f>
        <v>0</v>
      </c>
      <c r="L44" s="201">
        <f>L22+L30</f>
        <v>839736.79500000004</v>
      </c>
      <c r="M44" s="201">
        <f>M22+M30</f>
        <v>310145.277</v>
      </c>
      <c r="N44" s="201">
        <f>N22+N30</f>
        <v>806366.08160000003</v>
      </c>
      <c r="O44" s="201">
        <f>O22+O30</f>
        <v>473479.91400000011</v>
      </c>
    </row>
    <row r="45" spans="1:17" ht="13.5" thickTop="1" thickBot="1">
      <c r="A45" s="177"/>
      <c r="B45" s="202" t="s">
        <v>80</v>
      </c>
      <c r="C45" s="202" t="s">
        <v>81</v>
      </c>
      <c r="D45" s="203">
        <f>D44</f>
        <v>1138230</v>
      </c>
      <c r="E45" s="203">
        <f>E143+E151+E34</f>
        <v>0</v>
      </c>
      <c r="F45" s="203">
        <f>F143+F151+F34-G49-H49-G73-H73-G78-H78-H54-H97-H109-G97-G102-H102-G109-G114-H114-G121-H121-G126-H126-G133-H133</f>
        <v>836880</v>
      </c>
      <c r="G45" s="203">
        <f>G143+G151+G34-H50-I50-H55-I55-H62-I62-H67-I67-H98-H74-H79-H86-H91-H103-H110-H115-H122-H127-H134</f>
        <v>337008.5</v>
      </c>
      <c r="H45" s="203">
        <f>H143+H151+H34-I51-I56-I63-I68-I75-I80-I87-I92-I99-I104-I111-I116-I123-I128</f>
        <v>771368.1</v>
      </c>
      <c r="I45" s="203">
        <f>I151+I143</f>
        <v>462682.1</v>
      </c>
      <c r="J45" s="203">
        <f>J44</f>
        <v>1086082.702</v>
      </c>
      <c r="K45" s="203">
        <f>K143+K151+K34</f>
        <v>0</v>
      </c>
      <c r="L45" s="203">
        <f>L143+L151+L34-M49-N49-M73-N73-M78-N78-N54-N97-N109-M97-M102-N102-M109-M114-N114-M121-N121-M126-N126-M133-N133</f>
        <v>839736.79500000004</v>
      </c>
      <c r="M45" s="203">
        <f>M143+M151+M34-N50-O50-N55-O55-N62-O62-N67-O67-N98-N74-N79-N86-N91-N103-N110-N115-N122-N127-N134</f>
        <v>299383.23400000005</v>
      </c>
      <c r="N45" s="203">
        <f>N143+N151+N34-O51-O56-O63-O68-O75-O80-O87-O92-O99-O104-O111-O116-O123-O128</f>
        <v>731958.33160000003</v>
      </c>
      <c r="O45" s="203">
        <f>O151+O143</f>
        <v>468975.54700000008</v>
      </c>
      <c r="Q45" s="321"/>
    </row>
    <row r="46" spans="1:17" ht="13.5" thickTop="1" thickBot="1">
      <c r="A46" s="862" t="s">
        <v>82</v>
      </c>
      <c r="B46" s="15" t="s">
        <v>83</v>
      </c>
      <c r="C46" s="488" t="s">
        <v>84</v>
      </c>
      <c r="D46" s="181">
        <f>SUM(E46:I46)</f>
        <v>891460</v>
      </c>
      <c r="E46" s="322">
        <f>E47+E59+E71+E83+E95</f>
        <v>0</v>
      </c>
      <c r="F46" s="322">
        <f>F47+F59+F71+F83+F95+F107+F119+F131</f>
        <v>222540</v>
      </c>
      <c r="G46" s="322">
        <f>G47+G59+G71+G83+G95+G107+G119+G131</f>
        <v>15040</v>
      </c>
      <c r="H46" s="322">
        <f>H47+H59+H71+H83+H95+H107+H119+H131</f>
        <v>302220</v>
      </c>
      <c r="I46" s="322">
        <f>I47+I59+I71+I83+I95+I107+I119+I131</f>
        <v>351660</v>
      </c>
      <c r="J46" s="181">
        <f>SUM(K46:O46)</f>
        <v>823126.68200000003</v>
      </c>
      <c r="K46" s="322">
        <f>K47+K59+K71+K83+K95</f>
        <v>0</v>
      </c>
      <c r="L46" s="322">
        <f>L47+L59+L71+L83+L95+L107+L119+L131</f>
        <v>211313.49599999998</v>
      </c>
      <c r="M46" s="322">
        <f>M47+M59+M71+M83+M95+M107+M119+M131</f>
        <v>14077.334000000003</v>
      </c>
      <c r="N46" s="322">
        <f>N47+N59+N71+N83+N95+N107+N119+N131</f>
        <v>266213.55300000001</v>
      </c>
      <c r="O46" s="322">
        <f>O47+O59+O71+O83+O95+O107+O119+O131</f>
        <v>331522.299</v>
      </c>
    </row>
    <row r="47" spans="1:17" ht="13.5" thickTop="1" thickBot="1">
      <c r="A47" s="862"/>
      <c r="B47" s="497" t="s">
        <v>85</v>
      </c>
      <c r="C47" s="498" t="s">
        <v>86</v>
      </c>
      <c r="D47" s="324">
        <f t="shared" ref="D47:D57" si="14">SUM(E47:I47)</f>
        <v>631760</v>
      </c>
      <c r="E47" s="370"/>
      <c r="F47" s="338">
        <f>январь!F47+февраль!F47+март!F47</f>
        <v>2230</v>
      </c>
      <c r="G47" s="338">
        <f>январь!G47+февраль!G47+март!G47</f>
        <v>3750</v>
      </c>
      <c r="H47" s="338">
        <f>январь!H47+февраль!H47+март!H47</f>
        <v>275890</v>
      </c>
      <c r="I47" s="338">
        <f>январь!I47+февраль!I47+март!I47</f>
        <v>349890</v>
      </c>
      <c r="J47" s="590">
        <f t="shared" ref="J47:J58" si="15">SUM(K47:O47)</f>
        <v>586479.228</v>
      </c>
      <c r="K47" s="273"/>
      <c r="L47" s="338">
        <f>январь!L47+февраль!L47+март!L47</f>
        <v>4513.341000000004</v>
      </c>
      <c r="M47" s="338">
        <f>январь!M47+февраль!M47+март!M47</f>
        <v>3315.2910000000002</v>
      </c>
      <c r="N47" s="338">
        <f>январь!N47+февраль!N47+март!N47</f>
        <v>249048.44500000001</v>
      </c>
      <c r="O47" s="338">
        <f>январь!O47+февраль!O47+март!O47</f>
        <v>329602.15100000001</v>
      </c>
    </row>
    <row r="48" spans="1:17" ht="13.5" thickTop="1" thickBot="1">
      <c r="A48" s="862"/>
      <c r="B48" s="400" t="s">
        <v>87</v>
      </c>
      <c r="C48" s="499" t="s">
        <v>88</v>
      </c>
      <c r="D48" s="326">
        <f t="shared" si="14"/>
        <v>0</v>
      </c>
      <c r="E48" s="367"/>
      <c r="F48" s="367"/>
      <c r="G48" s="367"/>
      <c r="H48" s="367"/>
      <c r="I48" s="367"/>
      <c r="J48" s="265">
        <f t="shared" si="15"/>
        <v>0</v>
      </c>
      <c r="K48" s="265"/>
      <c r="L48" s="265"/>
      <c r="M48" s="265"/>
      <c r="N48" s="265"/>
      <c r="O48" s="265"/>
    </row>
    <row r="49" spans="1:15" ht="13.5" thickTop="1" thickBot="1">
      <c r="A49" s="862"/>
      <c r="B49" s="396"/>
      <c r="C49" s="500" t="s">
        <v>89</v>
      </c>
      <c r="D49" s="326">
        <f t="shared" si="14"/>
        <v>34800</v>
      </c>
      <c r="E49" s="372"/>
      <c r="F49" s="372"/>
      <c r="G49" s="371"/>
      <c r="H49" s="338">
        <f>январь!H49+февраль!H49+март!H49</f>
        <v>34800</v>
      </c>
      <c r="I49" s="372"/>
      <c r="J49" s="277">
        <f t="shared" si="15"/>
        <v>48281.451000000001</v>
      </c>
      <c r="K49" s="278"/>
      <c r="L49" s="278"/>
      <c r="M49" s="277"/>
      <c r="N49" s="338">
        <f>январь!N49+февраль!N49+март!N49</f>
        <v>48281.451000000001</v>
      </c>
      <c r="O49" s="278"/>
    </row>
    <row r="50" spans="1:15" ht="13.5" thickTop="1" thickBot="1">
      <c r="A50" s="862"/>
      <c r="B50" s="396"/>
      <c r="C50" s="500" t="s">
        <v>90</v>
      </c>
      <c r="D50" s="326">
        <f t="shared" si="14"/>
        <v>5400</v>
      </c>
      <c r="E50" s="372"/>
      <c r="F50" s="372"/>
      <c r="G50" s="372"/>
      <c r="H50" s="338">
        <f>январь!H50+февраль!H50+март!H50</f>
        <v>5400</v>
      </c>
      <c r="I50" s="371"/>
      <c r="J50" s="277">
        <f t="shared" si="15"/>
        <v>1940.4519999999998</v>
      </c>
      <c r="K50" s="278"/>
      <c r="L50" s="278"/>
      <c r="M50" s="278"/>
      <c r="N50" s="338">
        <f>январь!N50+февраль!N50+март!N50</f>
        <v>1940.4519999999998</v>
      </c>
      <c r="O50" s="277"/>
    </row>
    <row r="51" spans="1:15" ht="13.5" thickTop="1" thickBot="1">
      <c r="A51" s="862"/>
      <c r="B51" s="396"/>
      <c r="C51" s="500" t="s">
        <v>91</v>
      </c>
      <c r="D51" s="324">
        <f t="shared" si="14"/>
        <v>0</v>
      </c>
      <c r="E51" s="372"/>
      <c r="F51" s="372"/>
      <c r="G51" s="372"/>
      <c r="H51" s="372"/>
      <c r="I51" s="371"/>
      <c r="J51" s="277">
        <f t="shared" si="15"/>
        <v>0</v>
      </c>
      <c r="K51" s="278"/>
      <c r="L51" s="278"/>
      <c r="M51" s="278"/>
      <c r="N51" s="278"/>
      <c r="O51" s="277"/>
    </row>
    <row r="52" spans="1:15" ht="13.5" thickTop="1" thickBot="1">
      <c r="A52" s="862"/>
      <c r="B52" s="400" t="s">
        <v>92</v>
      </c>
      <c r="C52" s="499" t="s">
        <v>93</v>
      </c>
      <c r="D52" s="330">
        <f t="shared" si="14"/>
        <v>0</v>
      </c>
      <c r="E52" s="367"/>
      <c r="F52" s="384"/>
      <c r="G52" s="384"/>
      <c r="H52" s="384"/>
      <c r="I52" s="384"/>
      <c r="J52" s="265">
        <f t="shared" si="15"/>
        <v>0</v>
      </c>
      <c r="K52" s="279"/>
      <c r="L52" s="340"/>
      <c r="M52" s="340"/>
      <c r="N52" s="340"/>
      <c r="O52" s="340"/>
    </row>
    <row r="53" spans="1:15" ht="13.5" thickTop="1" thickBot="1">
      <c r="A53" s="862"/>
      <c r="B53" s="400" t="s">
        <v>94</v>
      </c>
      <c r="C53" s="499" t="s">
        <v>95</v>
      </c>
      <c r="D53" s="326">
        <f t="shared" si="14"/>
        <v>77344</v>
      </c>
      <c r="E53" s="376"/>
      <c r="F53" s="376"/>
      <c r="G53" s="338">
        <f>январь!G53+февраль!G53+март!G53</f>
        <v>3479</v>
      </c>
      <c r="H53" s="338">
        <f>январь!H53+февраль!H53+март!H53</f>
        <v>73865</v>
      </c>
      <c r="I53" s="338">
        <f>январь!I53+февраль!I53+март!I53</f>
        <v>0</v>
      </c>
      <c r="J53" s="280">
        <f>SUM(K53:O53)</f>
        <v>66752.974000000002</v>
      </c>
      <c r="K53" s="238"/>
      <c r="L53" s="238"/>
      <c r="M53" s="338">
        <f>январь!M53+февраль!M53+март!M53</f>
        <v>3315.2910000000002</v>
      </c>
      <c r="N53" s="338">
        <f>январь!N53+февраль!N53+март!N53</f>
        <v>63416.849000000002</v>
      </c>
      <c r="O53" s="338">
        <f>январь!O53+февраль!O53+март!O53</f>
        <v>20.834</v>
      </c>
    </row>
    <row r="54" spans="1:15" ht="13.5" thickTop="1" thickBot="1">
      <c r="A54" s="862"/>
      <c r="B54" s="396"/>
      <c r="C54" s="500" t="s">
        <v>89</v>
      </c>
      <c r="D54" s="326">
        <f t="shared" si="14"/>
        <v>4000</v>
      </c>
      <c r="E54" s="377"/>
      <c r="F54" s="377"/>
      <c r="G54" s="376"/>
      <c r="H54" s="338">
        <f>январь!H54+февраль!H54+март!H54</f>
        <v>4000</v>
      </c>
      <c r="I54" s="372"/>
      <c r="J54" s="277">
        <f t="shared" si="15"/>
        <v>11089.51</v>
      </c>
      <c r="K54" s="282"/>
      <c r="L54" s="282"/>
      <c r="M54" s="238"/>
      <c r="N54" s="338">
        <f>январь!N54+февраль!N54+март!N54</f>
        <v>11089.51</v>
      </c>
      <c r="O54" s="278"/>
    </row>
    <row r="55" spans="1:15" ht="13.5" thickTop="1" thickBot="1">
      <c r="A55" s="862"/>
      <c r="B55" s="396"/>
      <c r="C55" s="500" t="s">
        <v>90</v>
      </c>
      <c r="D55" s="326">
        <f t="shared" si="14"/>
        <v>0</v>
      </c>
      <c r="E55" s="372"/>
      <c r="F55" s="372"/>
      <c r="G55" s="372"/>
      <c r="H55" s="371"/>
      <c r="I55" s="371"/>
      <c r="J55" s="277">
        <f t="shared" si="15"/>
        <v>0</v>
      </c>
      <c r="K55" s="278"/>
      <c r="L55" s="278"/>
      <c r="M55" s="278"/>
      <c r="N55" s="277"/>
      <c r="O55" s="277"/>
    </row>
    <row r="56" spans="1:15" ht="13.5" thickTop="1" thickBot="1">
      <c r="A56" s="862"/>
      <c r="B56" s="396"/>
      <c r="C56" s="500" t="s">
        <v>91</v>
      </c>
      <c r="D56" s="324">
        <f t="shared" si="14"/>
        <v>0</v>
      </c>
      <c r="E56" s="372"/>
      <c r="F56" s="372"/>
      <c r="G56" s="372"/>
      <c r="H56" s="372"/>
      <c r="I56" s="371"/>
      <c r="J56" s="277">
        <f t="shared" si="15"/>
        <v>0</v>
      </c>
      <c r="K56" s="278"/>
      <c r="L56" s="278"/>
      <c r="M56" s="278"/>
      <c r="N56" s="278"/>
      <c r="O56" s="277"/>
    </row>
    <row r="57" spans="1:15" ht="13.5" thickTop="1" thickBot="1">
      <c r="A57" s="862"/>
      <c r="B57" s="400" t="s">
        <v>96</v>
      </c>
      <c r="C57" s="499" t="s">
        <v>97</v>
      </c>
      <c r="D57" s="324">
        <f t="shared" si="14"/>
        <v>3183</v>
      </c>
      <c r="E57" s="367"/>
      <c r="F57" s="367"/>
      <c r="G57" s="367"/>
      <c r="H57" s="338">
        <f>январь!H57+февраль!H57+март!H57</f>
        <v>3183</v>
      </c>
      <c r="I57" s="367"/>
      <c r="J57" s="265">
        <f t="shared" si="15"/>
        <v>2783.108205</v>
      </c>
      <c r="K57" s="265"/>
      <c r="L57" s="265"/>
      <c r="M57" s="265"/>
      <c r="N57" s="695">
        <f>январь!N57+февраль!N57+март!N57</f>
        <v>2783.108205</v>
      </c>
      <c r="O57" s="265"/>
    </row>
    <row r="58" spans="1:15" ht="13.5" thickTop="1" thickBot="1">
      <c r="A58" s="862"/>
      <c r="B58" s="400" t="s">
        <v>98</v>
      </c>
      <c r="C58" s="499" t="s">
        <v>99</v>
      </c>
      <c r="D58" s="196">
        <f t="shared" ref="D58:D94" si="16">SUM(E58:I58)</f>
        <v>0</v>
      </c>
      <c r="E58" s="367"/>
      <c r="F58" s="367"/>
      <c r="G58" s="367"/>
      <c r="H58" s="323"/>
      <c r="I58" s="367"/>
      <c r="J58" s="265">
        <f t="shared" si="15"/>
        <v>0</v>
      </c>
      <c r="K58" s="265"/>
      <c r="L58" s="265"/>
      <c r="M58" s="265"/>
      <c r="N58" s="283"/>
      <c r="O58" s="265"/>
    </row>
    <row r="59" spans="1:15" ht="13.5" thickTop="1" thickBot="1">
      <c r="A59" s="862"/>
      <c r="B59" s="204" t="s">
        <v>171</v>
      </c>
      <c r="C59" s="205" t="s">
        <v>190</v>
      </c>
      <c r="D59" s="206">
        <f t="shared" si="16"/>
        <v>9590</v>
      </c>
      <c r="E59" s="338">
        <f>январь!E59+февраль!E59+март!E59</f>
        <v>0</v>
      </c>
      <c r="F59" s="338">
        <f>январь!F59+февраль!F59+март!F59</f>
        <v>6670</v>
      </c>
      <c r="G59" s="214"/>
      <c r="H59" s="338">
        <f>январь!H59+февраль!H59+март!H59</f>
        <v>1150</v>
      </c>
      <c r="I59" s="338">
        <f>январь!I59+февраль!I59+март!I59</f>
        <v>1770</v>
      </c>
      <c r="J59" s="206">
        <f t="shared" ref="J59:J94" si="17">SUM(K59:O59)</f>
        <v>8336.2279999999992</v>
      </c>
      <c r="K59" s="344">
        <f>январь!K59+февраль!K59+март!K59</f>
        <v>0</v>
      </c>
      <c r="L59" s="344">
        <f>январь!L59+февраль!L59+март!L59</f>
        <v>4925.3720000000003</v>
      </c>
      <c r="M59" s="477"/>
      <c r="N59" s="344">
        <f>январь!N59+февраль!N59+март!N59</f>
        <v>1490.7080000000001</v>
      </c>
      <c r="O59" s="344">
        <f>январь!O59+февраль!O59+март!O59</f>
        <v>1920.1480000000001</v>
      </c>
    </row>
    <row r="60" spans="1:15" ht="13.5" thickTop="1" thickBot="1">
      <c r="A60" s="862"/>
      <c r="B60" s="182" t="s">
        <v>172</v>
      </c>
      <c r="C60" s="182" t="s">
        <v>88</v>
      </c>
      <c r="D60" s="196">
        <f t="shared" si="16"/>
        <v>0</v>
      </c>
      <c r="E60" s="196"/>
      <c r="F60" s="196"/>
      <c r="G60" s="196"/>
      <c r="H60" s="196"/>
      <c r="I60" s="196"/>
      <c r="J60" s="196">
        <f t="shared" si="17"/>
        <v>0</v>
      </c>
      <c r="K60" s="196"/>
      <c r="L60" s="196"/>
      <c r="M60" s="196"/>
      <c r="N60" s="196"/>
      <c r="O60" s="196"/>
    </row>
    <row r="61" spans="1:15" ht="13.5" thickTop="1" thickBot="1">
      <c r="A61" s="862"/>
      <c r="B61" s="207"/>
      <c r="C61" s="208" t="s">
        <v>89</v>
      </c>
      <c r="D61" s="209">
        <f t="shared" si="16"/>
        <v>0</v>
      </c>
      <c r="E61" s="210"/>
      <c r="F61" s="210"/>
      <c r="G61" s="209"/>
      <c r="H61" s="209"/>
      <c r="I61" s="210"/>
      <c r="J61" s="209">
        <f t="shared" si="17"/>
        <v>0</v>
      </c>
      <c r="K61" s="210"/>
      <c r="L61" s="210"/>
      <c r="M61" s="209"/>
      <c r="N61" s="209"/>
      <c r="O61" s="210"/>
    </row>
    <row r="62" spans="1:15" ht="13.5" thickTop="1" thickBot="1">
      <c r="A62" s="862"/>
      <c r="B62" s="207"/>
      <c r="C62" s="208" t="s">
        <v>90</v>
      </c>
      <c r="D62" s="209">
        <f t="shared" si="16"/>
        <v>0</v>
      </c>
      <c r="E62" s="210"/>
      <c r="F62" s="210"/>
      <c r="G62" s="210"/>
      <c r="H62" s="209"/>
      <c r="I62" s="209"/>
      <c r="J62" s="209">
        <f t="shared" si="17"/>
        <v>0</v>
      </c>
      <c r="K62" s="210"/>
      <c r="L62" s="210"/>
      <c r="M62" s="210"/>
      <c r="N62" s="209"/>
      <c r="O62" s="209"/>
    </row>
    <row r="63" spans="1:15" ht="13.5" thickTop="1" thickBot="1">
      <c r="A63" s="862"/>
      <c r="B63" s="207"/>
      <c r="C63" s="208" t="s">
        <v>91</v>
      </c>
      <c r="D63" s="209">
        <f t="shared" si="16"/>
        <v>0</v>
      </c>
      <c r="E63" s="210"/>
      <c r="F63" s="210"/>
      <c r="G63" s="210"/>
      <c r="H63" s="210"/>
      <c r="I63" s="209"/>
      <c r="J63" s="209">
        <f t="shared" si="17"/>
        <v>0</v>
      </c>
      <c r="K63" s="210"/>
      <c r="L63" s="210"/>
      <c r="M63" s="210"/>
      <c r="N63" s="210"/>
      <c r="O63" s="209"/>
    </row>
    <row r="64" spans="1:15" ht="13.5" thickTop="1" thickBot="1">
      <c r="A64" s="862"/>
      <c r="B64" s="182" t="s">
        <v>173</v>
      </c>
      <c r="C64" s="182" t="s">
        <v>93</v>
      </c>
      <c r="D64" s="196">
        <f t="shared" si="16"/>
        <v>0</v>
      </c>
      <c r="E64" s="184">
        <f>январь!E64+февраль!E64+март!E64</f>
        <v>0</v>
      </c>
      <c r="F64" s="184">
        <f>январь!F64+февраль!F64+март!F64</f>
        <v>0</v>
      </c>
      <c r="G64" s="211"/>
      <c r="H64" s="211"/>
      <c r="I64" s="196"/>
      <c r="J64" s="463">
        <f t="shared" si="17"/>
        <v>0</v>
      </c>
      <c r="K64" s="334">
        <f>январь!K64+февраль!K64+март!K64</f>
        <v>0</v>
      </c>
      <c r="L64" s="334">
        <f>январь!L64+февраль!L64+март!L64</f>
        <v>0</v>
      </c>
      <c r="M64" s="211"/>
      <c r="N64" s="211"/>
      <c r="O64" s="196"/>
    </row>
    <row r="65" spans="1:15" ht="13.5" thickTop="1" thickBot="1">
      <c r="A65" s="862"/>
      <c r="B65" s="182" t="s">
        <v>174</v>
      </c>
      <c r="C65" s="182" t="s">
        <v>95</v>
      </c>
      <c r="D65" s="431">
        <f t="shared" si="16"/>
        <v>0</v>
      </c>
      <c r="E65" s="184">
        <f>январь!E65+февраль!E65+март!E65</f>
        <v>0</v>
      </c>
      <c r="F65" s="240"/>
      <c r="G65" s="209"/>
      <c r="H65" s="209"/>
      <c r="I65" s="196"/>
      <c r="J65" s="431">
        <f t="shared" si="17"/>
        <v>0</v>
      </c>
      <c r="K65" s="334">
        <f>январь!K65+февраль!K65+март!K65</f>
        <v>0</v>
      </c>
      <c r="L65" s="435"/>
      <c r="M65" s="209"/>
      <c r="N65" s="209"/>
      <c r="O65" s="196"/>
    </row>
    <row r="66" spans="1:15" ht="13.5" thickTop="1" thickBot="1">
      <c r="A66" s="862"/>
      <c r="B66" s="207"/>
      <c r="C66" s="208" t="s">
        <v>89</v>
      </c>
      <c r="D66" s="209">
        <f t="shared" si="16"/>
        <v>0</v>
      </c>
      <c r="E66" s="210"/>
      <c r="F66" s="210"/>
      <c r="G66" s="209"/>
      <c r="H66" s="209"/>
      <c r="I66" s="210"/>
      <c r="J66" s="209">
        <f t="shared" si="17"/>
        <v>0</v>
      </c>
      <c r="K66" s="210"/>
      <c r="L66" s="210"/>
      <c r="M66" s="209"/>
      <c r="N66" s="209"/>
      <c r="O66" s="210"/>
    </row>
    <row r="67" spans="1:15" ht="13.5" thickTop="1" thickBot="1">
      <c r="A67" s="862"/>
      <c r="B67" s="207"/>
      <c r="C67" s="208" t="s">
        <v>90</v>
      </c>
      <c r="D67" s="209">
        <f t="shared" si="16"/>
        <v>0</v>
      </c>
      <c r="E67" s="210"/>
      <c r="F67" s="210"/>
      <c r="G67" s="210"/>
      <c r="H67" s="209"/>
      <c r="I67" s="209"/>
      <c r="J67" s="209">
        <f t="shared" si="17"/>
        <v>0</v>
      </c>
      <c r="K67" s="210"/>
      <c r="L67" s="210"/>
      <c r="M67" s="210"/>
      <c r="N67" s="209"/>
      <c r="O67" s="209"/>
    </row>
    <row r="68" spans="1:15" ht="13.5" thickTop="1" thickBot="1">
      <c r="A68" s="862"/>
      <c r="B68" s="207"/>
      <c r="C68" s="208" t="s">
        <v>91</v>
      </c>
      <c r="D68" s="209">
        <f t="shared" si="16"/>
        <v>0</v>
      </c>
      <c r="E68" s="210"/>
      <c r="F68" s="210"/>
      <c r="G68" s="210"/>
      <c r="H68" s="210"/>
      <c r="I68" s="209"/>
      <c r="J68" s="209">
        <f t="shared" si="17"/>
        <v>0</v>
      </c>
      <c r="K68" s="210"/>
      <c r="L68" s="210"/>
      <c r="M68" s="210"/>
      <c r="N68" s="210"/>
      <c r="O68" s="209"/>
    </row>
    <row r="69" spans="1:15" ht="13.5" thickTop="1" thickBot="1">
      <c r="A69" s="862"/>
      <c r="B69" s="182" t="s">
        <v>176</v>
      </c>
      <c r="C69" s="182" t="s">
        <v>97</v>
      </c>
      <c r="D69" s="196">
        <f t="shared" si="16"/>
        <v>0</v>
      </c>
      <c r="E69" s="196"/>
      <c r="F69" s="196"/>
      <c r="G69" s="196"/>
      <c r="H69" s="185"/>
      <c r="I69" s="196"/>
      <c r="J69" s="196">
        <f t="shared" si="17"/>
        <v>0</v>
      </c>
      <c r="K69" s="196"/>
      <c r="L69" s="196"/>
      <c r="M69" s="196"/>
      <c r="N69" s="185"/>
      <c r="O69" s="196"/>
    </row>
    <row r="70" spans="1:15" ht="13.5" thickTop="1" thickBot="1">
      <c r="A70" s="862"/>
      <c r="B70" s="182" t="s">
        <v>175</v>
      </c>
      <c r="C70" s="182" t="s">
        <v>99</v>
      </c>
      <c r="D70" s="196">
        <f t="shared" si="16"/>
        <v>0</v>
      </c>
      <c r="E70" s="196"/>
      <c r="F70" s="196"/>
      <c r="G70" s="196"/>
      <c r="H70" s="185"/>
      <c r="I70" s="196"/>
      <c r="J70" s="196">
        <f t="shared" si="17"/>
        <v>0</v>
      </c>
      <c r="K70" s="196"/>
      <c r="L70" s="196"/>
      <c r="M70" s="196"/>
      <c r="N70" s="185"/>
      <c r="O70" s="196"/>
    </row>
    <row r="71" spans="1:15" ht="13.5" thickTop="1" thickBot="1">
      <c r="A71" s="862"/>
      <c r="B71" s="204" t="s">
        <v>177</v>
      </c>
      <c r="C71" s="205" t="s">
        <v>203</v>
      </c>
      <c r="D71" s="206">
        <f t="shared" si="16"/>
        <v>20930</v>
      </c>
      <c r="E71" s="284"/>
      <c r="F71" s="284"/>
      <c r="G71" s="338">
        <f>январь!G71+февраль!G71+март!G71</f>
        <v>11290</v>
      </c>
      <c r="H71" s="338">
        <f>январь!H71+февраль!H71+март!H71</f>
        <v>9640</v>
      </c>
      <c r="I71" s="214"/>
      <c r="J71" s="206">
        <f t="shared" si="17"/>
        <v>19341.788</v>
      </c>
      <c r="K71" s="214"/>
      <c r="L71" s="214"/>
      <c r="M71" s="344">
        <f>январь!M71+февраль!M71+март!M71</f>
        <v>10762.043000000001</v>
      </c>
      <c r="N71" s="344">
        <f>январь!N71+февраль!N71+март!N71</f>
        <v>8579.7450000000008</v>
      </c>
      <c r="O71" s="214"/>
    </row>
    <row r="72" spans="1:15" ht="13.5" thickTop="1" thickBot="1">
      <c r="A72" s="862"/>
      <c r="B72" s="182" t="s">
        <v>178</v>
      </c>
      <c r="C72" s="182" t="s">
        <v>88</v>
      </c>
      <c r="D72" s="196">
        <f t="shared" si="16"/>
        <v>0</v>
      </c>
      <c r="E72" s="196"/>
      <c r="F72" s="196"/>
      <c r="G72" s="196"/>
      <c r="H72" s="196"/>
      <c r="I72" s="196"/>
      <c r="J72" s="196">
        <f t="shared" si="17"/>
        <v>0</v>
      </c>
      <c r="K72" s="196"/>
      <c r="L72" s="196"/>
      <c r="M72" s="196"/>
      <c r="N72" s="196"/>
      <c r="O72" s="196"/>
    </row>
    <row r="73" spans="1:15" ht="13.5" thickTop="1" thickBot="1">
      <c r="A73" s="862"/>
      <c r="B73" s="207"/>
      <c r="C73" s="208" t="s">
        <v>89</v>
      </c>
      <c r="D73" s="209">
        <f t="shared" si="16"/>
        <v>9647</v>
      </c>
      <c r="E73" s="210"/>
      <c r="F73" s="210"/>
      <c r="G73" s="338">
        <f>январь!G73+февраль!G73+март!G73</f>
        <v>3065</v>
      </c>
      <c r="H73" s="338">
        <f>январь!H73+февраль!H73+март!H73</f>
        <v>6582</v>
      </c>
      <c r="I73" s="210"/>
      <c r="J73" s="209">
        <f t="shared" si="17"/>
        <v>8391.3350000000009</v>
      </c>
      <c r="K73" s="210"/>
      <c r="L73" s="210"/>
      <c r="M73" s="344">
        <f>январь!M73+февраль!M73+март!M73</f>
        <v>2412.9360000000006</v>
      </c>
      <c r="N73" s="344">
        <f>январь!N73+февраль!N73+март!N73</f>
        <v>5978.3990000000003</v>
      </c>
      <c r="O73" s="210"/>
    </row>
    <row r="74" spans="1:15" ht="13.5" thickTop="1" thickBot="1">
      <c r="A74" s="862"/>
      <c r="B74" s="207"/>
      <c r="C74" s="208" t="s">
        <v>90</v>
      </c>
      <c r="D74" s="209">
        <f t="shared" si="16"/>
        <v>0</v>
      </c>
      <c r="E74" s="210"/>
      <c r="F74" s="210"/>
      <c r="G74" s="210"/>
      <c r="H74" s="209"/>
      <c r="I74" s="209"/>
      <c r="J74" s="209">
        <f t="shared" si="17"/>
        <v>0</v>
      </c>
      <c r="K74" s="210"/>
      <c r="L74" s="210"/>
      <c r="M74" s="707"/>
      <c r="N74" s="708"/>
      <c r="O74" s="209"/>
    </row>
    <row r="75" spans="1:15" ht="13.5" thickTop="1" thickBot="1">
      <c r="A75" s="862"/>
      <c r="B75" s="207"/>
      <c r="C75" s="208" t="s">
        <v>91</v>
      </c>
      <c r="D75" s="209">
        <f t="shared" si="16"/>
        <v>0</v>
      </c>
      <c r="E75" s="210"/>
      <c r="F75" s="210"/>
      <c r="G75" s="210"/>
      <c r="H75" s="210"/>
      <c r="I75" s="209"/>
      <c r="J75" s="209">
        <f t="shared" si="17"/>
        <v>0</v>
      </c>
      <c r="K75" s="210"/>
      <c r="L75" s="210"/>
      <c r="M75" s="707"/>
      <c r="N75" s="707"/>
      <c r="O75" s="209"/>
    </row>
    <row r="76" spans="1:15" ht="13.5" thickTop="1" thickBot="1">
      <c r="A76" s="862"/>
      <c r="B76" s="182" t="s">
        <v>179</v>
      </c>
      <c r="C76" s="182" t="s">
        <v>93</v>
      </c>
      <c r="D76" s="196">
        <f t="shared" si="16"/>
        <v>0</v>
      </c>
      <c r="E76" s="196"/>
      <c r="F76" s="196"/>
      <c r="G76" s="211"/>
      <c r="H76" s="211"/>
      <c r="I76" s="196"/>
      <c r="J76" s="196">
        <f t="shared" si="17"/>
        <v>0</v>
      </c>
      <c r="K76" s="196"/>
      <c r="L76" s="196"/>
      <c r="M76" s="709"/>
      <c r="N76" s="709"/>
      <c r="O76" s="196"/>
    </row>
    <row r="77" spans="1:15" ht="13.5" thickTop="1" thickBot="1">
      <c r="A77" s="862"/>
      <c r="B77" s="182" t="s">
        <v>180</v>
      </c>
      <c r="C77" s="182" t="s">
        <v>95</v>
      </c>
      <c r="D77" s="431">
        <f t="shared" si="16"/>
        <v>0</v>
      </c>
      <c r="E77" s="215"/>
      <c r="F77" s="209"/>
      <c r="G77" s="184"/>
      <c r="H77" s="184"/>
      <c r="I77" s="196"/>
      <c r="J77" s="431"/>
      <c r="K77" s="319"/>
      <c r="L77" s="320"/>
      <c r="M77" s="344"/>
      <c r="N77" s="344"/>
      <c r="O77" s="196"/>
    </row>
    <row r="78" spans="1:15" ht="13.5" thickTop="1" thickBot="1">
      <c r="A78" s="862"/>
      <c r="B78" s="207"/>
      <c r="C78" s="208" t="s">
        <v>89</v>
      </c>
      <c r="D78" s="209">
        <f t="shared" si="16"/>
        <v>11283</v>
      </c>
      <c r="E78" s="210"/>
      <c r="F78" s="210"/>
      <c r="G78" s="184">
        <f>январь!G78+февраль!G78+март!G78</f>
        <v>8225</v>
      </c>
      <c r="H78" s="184">
        <f>январь!H78+февраль!H78+март!H78</f>
        <v>3058</v>
      </c>
      <c r="I78" s="210"/>
      <c r="J78" s="209">
        <f t="shared" si="17"/>
        <v>10950.453</v>
      </c>
      <c r="K78" s="210"/>
      <c r="L78" s="210"/>
      <c r="M78" s="338">
        <f>январь!M78+февраль!M78+март!M78</f>
        <v>8349.107</v>
      </c>
      <c r="N78" s="338">
        <f>январь!N78+февраль!N78+март!N78</f>
        <v>2601.346</v>
      </c>
      <c r="O78" s="210"/>
    </row>
    <row r="79" spans="1:15" ht="13.5" thickTop="1" thickBot="1">
      <c r="A79" s="862"/>
      <c r="B79" s="207"/>
      <c r="C79" s="208" t="s">
        <v>90</v>
      </c>
      <c r="D79" s="209">
        <f t="shared" si="16"/>
        <v>0</v>
      </c>
      <c r="E79" s="210"/>
      <c r="F79" s="210"/>
      <c r="G79" s="210"/>
      <c r="H79" s="209"/>
      <c r="I79" s="209"/>
      <c r="J79" s="209">
        <f t="shared" si="17"/>
        <v>0</v>
      </c>
      <c r="K79" s="210"/>
      <c r="L79" s="210"/>
      <c r="M79" s="210"/>
      <c r="N79" s="209"/>
      <c r="O79" s="209"/>
    </row>
    <row r="80" spans="1:15" ht="13.5" thickTop="1" thickBot="1">
      <c r="A80" s="862"/>
      <c r="B80" s="207"/>
      <c r="C80" s="208" t="s">
        <v>91</v>
      </c>
      <c r="D80" s="209">
        <f t="shared" si="16"/>
        <v>0</v>
      </c>
      <c r="E80" s="210"/>
      <c r="F80" s="210"/>
      <c r="G80" s="210"/>
      <c r="H80" s="210"/>
      <c r="I80" s="209"/>
      <c r="J80" s="209">
        <f t="shared" si="17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196">
        <f t="shared" si="16"/>
        <v>0</v>
      </c>
      <c r="E81" s="196"/>
      <c r="F81" s="196"/>
      <c r="G81" s="196"/>
      <c r="H81" s="185"/>
      <c r="I81" s="196"/>
      <c r="J81" s="196">
        <f t="shared" si="17"/>
        <v>0</v>
      </c>
      <c r="K81" s="196"/>
      <c r="L81" s="196"/>
      <c r="M81" s="196"/>
      <c r="N81" s="185"/>
      <c r="O81" s="196"/>
    </row>
    <row r="82" spans="1:15" ht="13.5" thickTop="1" thickBot="1">
      <c r="A82" s="862"/>
      <c r="B82" s="182" t="s">
        <v>182</v>
      </c>
      <c r="C82" s="182" t="s">
        <v>99</v>
      </c>
      <c r="D82" s="196">
        <f t="shared" si="16"/>
        <v>0</v>
      </c>
      <c r="E82" s="196"/>
      <c r="F82" s="196"/>
      <c r="G82" s="196"/>
      <c r="H82" s="185"/>
      <c r="I82" s="196"/>
      <c r="J82" s="196">
        <f t="shared" si="17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196">
        <f t="shared" si="16"/>
        <v>213640</v>
      </c>
      <c r="E83" s="196"/>
      <c r="F83" s="338">
        <f>январь!F83+февраль!F83+март!F83</f>
        <v>213640</v>
      </c>
      <c r="G83" s="196"/>
      <c r="H83" s="185"/>
      <c r="I83" s="196"/>
      <c r="J83" s="351">
        <f t="shared" si="17"/>
        <v>201874.783</v>
      </c>
      <c r="K83" s="196"/>
      <c r="L83" s="344">
        <f>январь!L83+февраль!L83+март!L83</f>
        <v>201874.783</v>
      </c>
      <c r="M83" s="196"/>
      <c r="N83" s="185"/>
      <c r="O83" s="196"/>
    </row>
    <row r="84" spans="1:15" ht="13.5" thickTop="1" thickBot="1">
      <c r="A84" s="862"/>
      <c r="B84" s="182" t="s">
        <v>184</v>
      </c>
      <c r="C84" s="182" t="s">
        <v>88</v>
      </c>
      <c r="D84" s="196">
        <f t="shared" si="16"/>
        <v>0</v>
      </c>
      <c r="E84" s="196"/>
      <c r="F84" s="196"/>
      <c r="G84" s="196"/>
      <c r="H84" s="196"/>
      <c r="I84" s="196"/>
      <c r="J84" s="196">
        <f t="shared" si="17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209">
        <f t="shared" si="16"/>
        <v>0</v>
      </c>
      <c r="E85" s="210"/>
      <c r="F85" s="210"/>
      <c r="G85" s="209"/>
      <c r="H85" s="209"/>
      <c r="I85" s="210"/>
      <c r="J85" s="209">
        <f t="shared" si="17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209">
        <f t="shared" si="16"/>
        <v>0</v>
      </c>
      <c r="E86" s="210"/>
      <c r="F86" s="210"/>
      <c r="G86" s="210"/>
      <c r="H86" s="209"/>
      <c r="I86" s="209"/>
      <c r="J86" s="209">
        <f t="shared" si="17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209">
        <f t="shared" si="16"/>
        <v>0</v>
      </c>
      <c r="E87" s="210"/>
      <c r="F87" s="210"/>
      <c r="G87" s="210"/>
      <c r="H87" s="210"/>
      <c r="I87" s="209"/>
      <c r="J87" s="209">
        <f t="shared" si="17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196">
        <f t="shared" si="16"/>
        <v>0</v>
      </c>
      <c r="E88" s="196"/>
      <c r="F88" s="196"/>
      <c r="G88" s="211"/>
      <c r="H88" s="211"/>
      <c r="I88" s="196"/>
      <c r="J88" s="196">
        <f t="shared" si="17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431">
        <f t="shared" si="16"/>
        <v>83526</v>
      </c>
      <c r="E89" s="215"/>
      <c r="F89" s="184">
        <f>январь!F89+февраль!F89+март!F89</f>
        <v>83526</v>
      </c>
      <c r="G89" s="209"/>
      <c r="H89" s="209"/>
      <c r="I89" s="196"/>
      <c r="J89" s="431">
        <f t="shared" si="17"/>
        <v>83420.700000000012</v>
      </c>
      <c r="K89" s="383"/>
      <c r="L89" s="344">
        <f>январь!L89+февраль!L89+март!L89</f>
        <v>83420.700000000012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209">
        <f t="shared" si="16"/>
        <v>0</v>
      </c>
      <c r="E90" s="210"/>
      <c r="F90" s="210"/>
      <c r="G90" s="209"/>
      <c r="H90" s="209"/>
      <c r="I90" s="210"/>
      <c r="J90" s="209">
        <f t="shared" si="17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209">
        <f t="shared" si="16"/>
        <v>0</v>
      </c>
      <c r="E91" s="210"/>
      <c r="F91" s="210"/>
      <c r="G91" s="210"/>
      <c r="H91" s="209"/>
      <c r="I91" s="209"/>
      <c r="J91" s="209">
        <f t="shared" si="17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209">
        <f t="shared" si="16"/>
        <v>0</v>
      </c>
      <c r="E92" s="210"/>
      <c r="F92" s="210"/>
      <c r="G92" s="210"/>
      <c r="H92" s="210"/>
      <c r="I92" s="209"/>
      <c r="J92" s="209">
        <f t="shared" si="17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196">
        <f t="shared" si="16"/>
        <v>0</v>
      </c>
      <c r="E93" s="196"/>
      <c r="F93" s="196"/>
      <c r="G93" s="196"/>
      <c r="H93" s="185"/>
      <c r="I93" s="196"/>
      <c r="J93" s="196">
        <f t="shared" si="17"/>
        <v>0</v>
      </c>
      <c r="K93" s="196"/>
      <c r="L93" s="196"/>
      <c r="M93" s="196"/>
      <c r="N93" s="185"/>
      <c r="O93" s="196"/>
    </row>
    <row r="94" spans="1:15" ht="13.5" thickTop="1" thickBot="1">
      <c r="A94" s="862"/>
      <c r="B94" s="182" t="s">
        <v>188</v>
      </c>
      <c r="C94" s="182" t="s">
        <v>99</v>
      </c>
      <c r="D94" s="196">
        <f t="shared" si="16"/>
        <v>0</v>
      </c>
      <c r="E94" s="196"/>
      <c r="F94" s="196"/>
      <c r="G94" s="196"/>
      <c r="H94" s="185"/>
      <c r="I94" s="196"/>
      <c r="J94" s="196">
        <f t="shared" si="17"/>
        <v>0</v>
      </c>
      <c r="K94" s="196"/>
      <c r="L94" s="196"/>
      <c r="M94" s="196"/>
      <c r="N94" s="185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>
        <f t="shared" ref="D95:D106" si="18">SUM(E95:I95)</f>
        <v>15540</v>
      </c>
      <c r="E95" s="284"/>
      <c r="F95" s="325"/>
      <c r="G95" s="284"/>
      <c r="H95" s="338">
        <f>январь!H95+февраль!H95+март!H95</f>
        <v>15540</v>
      </c>
      <c r="I95" s="284"/>
      <c r="J95" s="206">
        <f t="shared" ref="J95:J106" si="19">SUM(K95:O95)</f>
        <v>6567.098</v>
      </c>
      <c r="K95" s="284"/>
      <c r="L95" s="325"/>
      <c r="M95" s="214"/>
      <c r="N95" s="338">
        <f>январь!N95+февраль!N95+март!N95</f>
        <v>6567.098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8"/>
        <v>0</v>
      </c>
      <c r="E96" s="324"/>
      <c r="F96" s="324"/>
      <c r="G96" s="324"/>
      <c r="H96" s="693"/>
      <c r="I96" s="324"/>
      <c r="J96" s="196">
        <f t="shared" si="19"/>
        <v>0</v>
      </c>
      <c r="K96" s="196"/>
      <c r="L96" s="196"/>
      <c r="M96" s="196"/>
      <c r="N96" s="351"/>
      <c r="O96" s="196"/>
    </row>
    <row r="97" spans="1:15" ht="13.5" thickTop="1" thickBot="1">
      <c r="A97" s="862"/>
      <c r="B97" s="207"/>
      <c r="C97" s="208" t="s">
        <v>89</v>
      </c>
      <c r="D97" s="326">
        <f t="shared" si="18"/>
        <v>6430</v>
      </c>
      <c r="E97" s="327"/>
      <c r="F97" s="327"/>
      <c r="G97" s="326"/>
      <c r="H97" s="338">
        <f>январь!H97+февраль!H97+март!H97</f>
        <v>6430</v>
      </c>
      <c r="I97" s="327"/>
      <c r="J97" s="209">
        <f t="shared" si="19"/>
        <v>0</v>
      </c>
      <c r="K97" s="210"/>
      <c r="L97" s="210"/>
      <c r="M97" s="209"/>
      <c r="N97" s="338">
        <f>январь!N97+февраль!N97+март!N97</f>
        <v>0</v>
      </c>
      <c r="O97" s="210"/>
    </row>
    <row r="98" spans="1:15" ht="13.5" thickTop="1" thickBot="1">
      <c r="A98" s="862"/>
      <c r="B98" s="207"/>
      <c r="C98" s="208" t="s">
        <v>90</v>
      </c>
      <c r="D98" s="326">
        <f t="shared" si="18"/>
        <v>4960</v>
      </c>
      <c r="E98" s="327"/>
      <c r="F98" s="327"/>
      <c r="G98" s="327"/>
      <c r="H98" s="338">
        <f>январь!H98+февраль!H98+март!H98</f>
        <v>4960</v>
      </c>
      <c r="I98" s="326"/>
      <c r="J98" s="209">
        <f t="shared" si="19"/>
        <v>2317.6059999999998</v>
      </c>
      <c r="K98" s="210"/>
      <c r="L98" s="210"/>
      <c r="M98" s="210"/>
      <c r="N98" s="338">
        <f>январь!N98+февраль!N98+март!N98</f>
        <v>2317.6059999999998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8"/>
        <v>0</v>
      </c>
      <c r="E99" s="327"/>
      <c r="F99" s="327"/>
      <c r="G99" s="327"/>
      <c r="H99" s="327"/>
      <c r="I99" s="326"/>
      <c r="J99" s="209">
        <f t="shared" si="19"/>
        <v>0</v>
      </c>
      <c r="K99" s="210"/>
      <c r="L99" s="210"/>
      <c r="M99" s="210"/>
      <c r="N99" s="707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8"/>
        <v>0</v>
      </c>
      <c r="E100" s="324"/>
      <c r="F100" s="324"/>
      <c r="G100" s="328"/>
      <c r="H100" s="184"/>
      <c r="I100" s="324"/>
      <c r="J100" s="196">
        <f t="shared" si="19"/>
        <v>0</v>
      </c>
      <c r="K100" s="196"/>
      <c r="L100" s="196"/>
      <c r="M100" s="211"/>
      <c r="N100" s="338"/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8"/>
        <v>0</v>
      </c>
      <c r="E101" s="380"/>
      <c r="F101" s="331"/>
      <c r="G101" s="326"/>
      <c r="H101" s="326"/>
      <c r="I101" s="324"/>
      <c r="J101" s="213">
        <f t="shared" si="19"/>
        <v>0</v>
      </c>
      <c r="K101" s="383"/>
      <c r="L101" s="320"/>
      <c r="M101" s="209"/>
      <c r="N101" s="708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8"/>
        <v>0</v>
      </c>
      <c r="E102" s="327"/>
      <c r="F102" s="327"/>
      <c r="G102" s="326"/>
      <c r="H102" s="326"/>
      <c r="I102" s="327"/>
      <c r="J102" s="209">
        <f t="shared" si="19"/>
        <v>0</v>
      </c>
      <c r="K102" s="210"/>
      <c r="L102" s="210"/>
      <c r="M102" s="209"/>
      <c r="N102" s="708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8"/>
        <v>0</v>
      </c>
      <c r="E103" s="327"/>
      <c r="F103" s="327"/>
      <c r="G103" s="327"/>
      <c r="H103" s="326"/>
      <c r="I103" s="326"/>
      <c r="J103" s="209">
        <f t="shared" si="19"/>
        <v>0</v>
      </c>
      <c r="K103" s="210"/>
      <c r="L103" s="210"/>
      <c r="M103" s="210"/>
      <c r="N103" s="708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8"/>
        <v>0</v>
      </c>
      <c r="E104" s="327"/>
      <c r="F104" s="327"/>
      <c r="G104" s="327"/>
      <c r="H104" s="327"/>
      <c r="I104" s="326"/>
      <c r="J104" s="209">
        <f t="shared" si="19"/>
        <v>0</v>
      </c>
      <c r="K104" s="210"/>
      <c r="L104" s="210"/>
      <c r="M104" s="210"/>
      <c r="N104" s="707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8"/>
        <v>0</v>
      </c>
      <c r="E105" s="324"/>
      <c r="F105" s="324"/>
      <c r="G105" s="324"/>
      <c r="H105" s="323"/>
      <c r="I105" s="324"/>
      <c r="J105" s="196">
        <f t="shared" si="19"/>
        <v>0</v>
      </c>
      <c r="K105" s="196"/>
      <c r="L105" s="196"/>
      <c r="M105" s="196"/>
      <c r="N105" s="477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8"/>
        <v>0</v>
      </c>
      <c r="E106" s="324"/>
      <c r="F106" s="324"/>
      <c r="G106" s="324"/>
      <c r="H106" s="323"/>
      <c r="I106" s="324"/>
      <c r="J106" s="196">
        <f t="shared" si="19"/>
        <v>0</v>
      </c>
      <c r="K106" s="196"/>
      <c r="L106" s="196"/>
      <c r="M106" s="196"/>
      <c r="N106" s="351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>
        <f t="shared" ref="D107:D118" si="20">SUM(E107:I107)</f>
        <v>0</v>
      </c>
      <c r="E107" s="284"/>
      <c r="F107" s="325"/>
      <c r="G107" s="284"/>
      <c r="H107" s="184">
        <f>январь!H107+февраль!H107+март!H107</f>
        <v>0</v>
      </c>
      <c r="I107" s="284"/>
      <c r="J107" s="206">
        <f t="shared" ref="J107:J118" si="21">SUM(K107:O107)</f>
        <v>527.55700000000002</v>
      </c>
      <c r="K107" s="284"/>
      <c r="L107" s="325"/>
      <c r="M107" s="214"/>
      <c r="N107" s="338">
        <f>январь!N107+февраль!N107+март!N107</f>
        <v>527.55700000000002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20"/>
        <v>0</v>
      </c>
      <c r="E108" s="324"/>
      <c r="F108" s="324"/>
      <c r="G108" s="324"/>
      <c r="H108" s="324"/>
      <c r="I108" s="324"/>
      <c r="J108" s="196">
        <f t="shared" si="21"/>
        <v>0</v>
      </c>
      <c r="K108" s="196"/>
      <c r="L108" s="196"/>
      <c r="M108" s="196"/>
      <c r="N108" s="351"/>
      <c r="O108" s="196"/>
    </row>
    <row r="109" spans="1:15" ht="13.5" thickTop="1" thickBot="1">
      <c r="A109" s="862"/>
      <c r="B109" s="207"/>
      <c r="C109" s="208" t="s">
        <v>89</v>
      </c>
      <c r="D109" s="326">
        <f t="shared" si="20"/>
        <v>0</v>
      </c>
      <c r="E109" s="327"/>
      <c r="F109" s="327"/>
      <c r="G109" s="326"/>
      <c r="H109" s="184">
        <f>январь!H109+февраль!H109+март!H109</f>
        <v>0</v>
      </c>
      <c r="I109" s="327"/>
      <c r="J109" s="209">
        <f t="shared" si="21"/>
        <v>527.55700000000002</v>
      </c>
      <c r="K109" s="210"/>
      <c r="L109" s="210"/>
      <c r="M109" s="209"/>
      <c r="N109" s="338">
        <f>январь!N109+февраль!N109+март!N109</f>
        <v>527.55700000000002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20"/>
        <v>0</v>
      </c>
      <c r="E110" s="327"/>
      <c r="F110" s="327"/>
      <c r="G110" s="327"/>
      <c r="H110" s="339"/>
      <c r="I110" s="326"/>
      <c r="J110" s="209">
        <f t="shared" si="21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20"/>
        <v>0</v>
      </c>
      <c r="E111" s="327"/>
      <c r="F111" s="327"/>
      <c r="G111" s="327"/>
      <c r="H111" s="327"/>
      <c r="I111" s="326"/>
      <c r="J111" s="209">
        <f t="shared" si="21"/>
        <v>0</v>
      </c>
      <c r="K111" s="210"/>
      <c r="L111" s="210"/>
      <c r="M111" s="210"/>
      <c r="N111" s="210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20"/>
        <v>0</v>
      </c>
      <c r="E112" s="324"/>
      <c r="F112" s="324"/>
      <c r="G112" s="328"/>
      <c r="H112" s="328"/>
      <c r="I112" s="324"/>
      <c r="J112" s="196">
        <f t="shared" si="21"/>
        <v>0</v>
      </c>
      <c r="K112" s="196"/>
      <c r="L112" s="196"/>
      <c r="M112" s="211"/>
      <c r="N112" s="211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20"/>
        <v>0</v>
      </c>
      <c r="E113" s="380"/>
      <c r="F113" s="331"/>
      <c r="G113" s="326"/>
      <c r="H113" s="326"/>
      <c r="I113" s="324"/>
      <c r="J113" s="213">
        <f t="shared" si="21"/>
        <v>0</v>
      </c>
      <c r="K113" s="383"/>
      <c r="L113" s="320"/>
      <c r="M113" s="209"/>
      <c r="N113" s="209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20"/>
        <v>0</v>
      </c>
      <c r="E114" s="327"/>
      <c r="F114" s="327"/>
      <c r="G114" s="326"/>
      <c r="H114" s="326"/>
      <c r="I114" s="327"/>
      <c r="J114" s="209">
        <f t="shared" si="21"/>
        <v>0</v>
      </c>
      <c r="K114" s="210"/>
      <c r="L114" s="210"/>
      <c r="M114" s="209"/>
      <c r="N114" s="209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20"/>
        <v>0</v>
      </c>
      <c r="E115" s="327"/>
      <c r="F115" s="327"/>
      <c r="G115" s="327"/>
      <c r="H115" s="326"/>
      <c r="I115" s="326"/>
      <c r="J115" s="209">
        <f t="shared" si="21"/>
        <v>0</v>
      </c>
      <c r="K115" s="210"/>
      <c r="L115" s="210"/>
      <c r="M115" s="210"/>
      <c r="N115" s="209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20"/>
        <v>0</v>
      </c>
      <c r="E116" s="327"/>
      <c r="F116" s="327"/>
      <c r="G116" s="327"/>
      <c r="H116" s="327"/>
      <c r="I116" s="326"/>
      <c r="J116" s="209">
        <f t="shared" si="21"/>
        <v>0</v>
      </c>
      <c r="K116" s="210"/>
      <c r="L116" s="210"/>
      <c r="M116" s="210"/>
      <c r="N116" s="210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20"/>
        <v>0</v>
      </c>
      <c r="E117" s="324"/>
      <c r="F117" s="324"/>
      <c r="G117" s="324"/>
      <c r="H117" s="324"/>
      <c r="I117" s="324"/>
      <c r="J117" s="196">
        <f t="shared" si="21"/>
        <v>0</v>
      </c>
      <c r="K117" s="196"/>
      <c r="L117" s="196"/>
      <c r="M117" s="196"/>
      <c r="N117" s="185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20"/>
        <v>0</v>
      </c>
      <c r="E118" s="324"/>
      <c r="F118" s="324"/>
      <c r="G118" s="324"/>
      <c r="H118" s="323"/>
      <c r="I118" s="324"/>
      <c r="J118" s="196">
        <f t="shared" si="21"/>
        <v>0</v>
      </c>
      <c r="K118" s="196"/>
      <c r="L118" s="196"/>
      <c r="M118" s="196"/>
      <c r="N118" s="196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>
        <f t="shared" ref="D119:D130" si="22">SUM(E119:I119)</f>
        <v>0</v>
      </c>
      <c r="E119" s="284"/>
      <c r="F119" s="325"/>
      <c r="G119" s="284"/>
      <c r="H119" s="339"/>
      <c r="I119" s="284"/>
      <c r="J119" s="206">
        <f t="shared" ref="J119:J130" si="23">SUM(K119:O119)</f>
        <v>0</v>
      </c>
      <c r="K119" s="284"/>
      <c r="L119" s="325"/>
      <c r="M119" s="214"/>
      <c r="N119" s="339"/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22"/>
        <v>0</v>
      </c>
      <c r="E120" s="324"/>
      <c r="F120" s="324"/>
      <c r="G120" s="324"/>
      <c r="H120" s="324"/>
      <c r="I120" s="324"/>
      <c r="J120" s="196">
        <f t="shared" si="23"/>
        <v>0</v>
      </c>
      <c r="K120" s="196"/>
      <c r="L120" s="196"/>
      <c r="M120" s="196"/>
      <c r="N120" s="196"/>
      <c r="O120" s="196"/>
    </row>
    <row r="121" spans="1:15" ht="13.5" thickTop="1" thickBot="1">
      <c r="A121" s="862"/>
      <c r="B121" s="207"/>
      <c r="C121" s="208" t="s">
        <v>89</v>
      </c>
      <c r="D121" s="326">
        <f t="shared" si="22"/>
        <v>0</v>
      </c>
      <c r="E121" s="327"/>
      <c r="F121" s="327"/>
      <c r="G121" s="326"/>
      <c r="H121" s="339"/>
      <c r="I121" s="327"/>
      <c r="J121" s="209">
        <f t="shared" si="23"/>
        <v>0</v>
      </c>
      <c r="K121" s="210"/>
      <c r="L121" s="210"/>
      <c r="M121" s="209"/>
      <c r="N121" s="339"/>
      <c r="O121" s="210"/>
    </row>
    <row r="122" spans="1:15" ht="13.5" thickTop="1" thickBot="1">
      <c r="A122" s="862"/>
      <c r="B122" s="207"/>
      <c r="C122" s="208" t="s">
        <v>90</v>
      </c>
      <c r="D122" s="326">
        <f t="shared" si="22"/>
        <v>0</v>
      </c>
      <c r="E122" s="327"/>
      <c r="F122" s="327"/>
      <c r="G122" s="327"/>
      <c r="H122" s="339"/>
      <c r="I122" s="326"/>
      <c r="J122" s="209">
        <f t="shared" si="23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22"/>
        <v>0</v>
      </c>
      <c r="E123" s="327"/>
      <c r="F123" s="327"/>
      <c r="G123" s="327"/>
      <c r="H123" s="327"/>
      <c r="I123" s="326"/>
      <c r="J123" s="209">
        <f t="shared" si="23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22"/>
        <v>0</v>
      </c>
      <c r="E124" s="324"/>
      <c r="F124" s="324"/>
      <c r="G124" s="328"/>
      <c r="H124" s="328"/>
      <c r="I124" s="324"/>
      <c r="J124" s="196">
        <f t="shared" si="23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22"/>
        <v>0</v>
      </c>
      <c r="E125" s="380"/>
      <c r="F125" s="331"/>
      <c r="G125" s="326"/>
      <c r="H125" s="326"/>
      <c r="I125" s="324"/>
      <c r="J125" s="213">
        <f t="shared" si="23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22"/>
        <v>0</v>
      </c>
      <c r="E126" s="327"/>
      <c r="F126" s="327"/>
      <c r="G126" s="326"/>
      <c r="H126" s="326"/>
      <c r="I126" s="327"/>
      <c r="J126" s="209">
        <f t="shared" si="23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22"/>
        <v>0</v>
      </c>
      <c r="E127" s="327"/>
      <c r="F127" s="327"/>
      <c r="G127" s="327"/>
      <c r="H127" s="326"/>
      <c r="I127" s="326"/>
      <c r="J127" s="209">
        <f t="shared" si="23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22"/>
        <v>0</v>
      </c>
      <c r="E128" s="327"/>
      <c r="F128" s="327"/>
      <c r="G128" s="327"/>
      <c r="H128" s="327"/>
      <c r="I128" s="326"/>
      <c r="J128" s="209">
        <f t="shared" si="23"/>
        <v>0</v>
      </c>
      <c r="K128" s="210"/>
      <c r="L128" s="210"/>
      <c r="M128" s="210"/>
      <c r="N128" s="210"/>
      <c r="O128" s="209"/>
    </row>
    <row r="129" spans="1:15" ht="13.5" thickTop="1" thickBot="1">
      <c r="A129" s="862"/>
      <c r="B129" s="182" t="s">
        <v>246</v>
      </c>
      <c r="C129" s="182" t="s">
        <v>97</v>
      </c>
      <c r="D129" s="324">
        <f t="shared" si="22"/>
        <v>0</v>
      </c>
      <c r="E129" s="324"/>
      <c r="F129" s="324"/>
      <c r="G129" s="324"/>
      <c r="H129" s="324"/>
      <c r="I129" s="324"/>
      <c r="J129" s="196">
        <f t="shared" si="23"/>
        <v>0</v>
      </c>
      <c r="K129" s="196"/>
      <c r="L129" s="196"/>
      <c r="M129" s="196"/>
      <c r="N129" s="185"/>
      <c r="O129" s="196"/>
    </row>
    <row r="130" spans="1:15" ht="13.5" thickTop="1" thickBot="1">
      <c r="A130" s="862"/>
      <c r="B130" s="182" t="s">
        <v>247</v>
      </c>
      <c r="C130" s="182" t="s">
        <v>99</v>
      </c>
      <c r="D130" s="324">
        <f t="shared" si="22"/>
        <v>0</v>
      </c>
      <c r="E130" s="324"/>
      <c r="F130" s="324"/>
      <c r="G130" s="324"/>
      <c r="H130" s="323"/>
      <c r="I130" s="324"/>
      <c r="J130" s="196">
        <f t="shared" si="23"/>
        <v>0</v>
      </c>
      <c r="K130" s="196"/>
      <c r="L130" s="196"/>
      <c r="M130" s="196"/>
      <c r="N130" s="196"/>
      <c r="O130" s="196"/>
    </row>
    <row r="131" spans="1:15" ht="13.5" thickTop="1" thickBot="1">
      <c r="A131" s="862"/>
      <c r="B131" s="204" t="s">
        <v>250</v>
      </c>
      <c r="C131" s="595" t="s">
        <v>249</v>
      </c>
      <c r="D131" s="325">
        <f t="shared" ref="D131:D142" si="24">SUM(E131:I131)</f>
        <v>0</v>
      </c>
      <c r="E131" s="284"/>
      <c r="F131" s="325"/>
      <c r="G131" s="284"/>
      <c r="H131" s="339"/>
      <c r="I131" s="284"/>
      <c r="J131" s="206">
        <f t="shared" ref="J131:J142" si="25">SUM(K131:O131)</f>
        <v>0</v>
      </c>
      <c r="K131" s="284"/>
      <c r="L131" s="325"/>
      <c r="M131" s="214"/>
      <c r="N131" s="339"/>
      <c r="O131" s="214"/>
    </row>
    <row r="132" spans="1:15" ht="13.5" thickTop="1" thickBot="1">
      <c r="A132" s="862"/>
      <c r="B132" s="182" t="s">
        <v>251</v>
      </c>
      <c r="C132" s="182" t="s">
        <v>88</v>
      </c>
      <c r="D132" s="324">
        <f t="shared" si="24"/>
        <v>0</v>
      </c>
      <c r="E132" s="324"/>
      <c r="F132" s="324"/>
      <c r="G132" s="324"/>
      <c r="H132" s="324"/>
      <c r="I132" s="324"/>
      <c r="J132" s="196">
        <f t="shared" si="25"/>
        <v>0</v>
      </c>
      <c r="K132" s="196"/>
      <c r="L132" s="196"/>
      <c r="M132" s="196"/>
      <c r="N132" s="196"/>
      <c r="O132" s="196"/>
    </row>
    <row r="133" spans="1:15" ht="13.5" thickTop="1" thickBot="1">
      <c r="A133" s="862"/>
      <c r="B133" s="207"/>
      <c r="C133" s="208" t="s">
        <v>89</v>
      </c>
      <c r="D133" s="326">
        <f t="shared" si="24"/>
        <v>0</v>
      </c>
      <c r="E133" s="327"/>
      <c r="F133" s="327"/>
      <c r="G133" s="326"/>
      <c r="H133" s="339"/>
      <c r="I133" s="327"/>
      <c r="J133" s="209">
        <f t="shared" si="25"/>
        <v>0</v>
      </c>
      <c r="K133" s="210"/>
      <c r="L133" s="210"/>
      <c r="M133" s="209"/>
      <c r="N133" s="339"/>
      <c r="O133" s="210"/>
    </row>
    <row r="134" spans="1:15" ht="13.5" thickTop="1" thickBot="1">
      <c r="A134" s="862"/>
      <c r="B134" s="207"/>
      <c r="C134" s="208" t="s">
        <v>90</v>
      </c>
      <c r="D134" s="326">
        <f t="shared" si="24"/>
        <v>0</v>
      </c>
      <c r="E134" s="327"/>
      <c r="F134" s="327"/>
      <c r="G134" s="327"/>
      <c r="H134" s="339"/>
      <c r="I134" s="326"/>
      <c r="J134" s="209">
        <f t="shared" si="25"/>
        <v>0</v>
      </c>
      <c r="K134" s="210"/>
      <c r="L134" s="210"/>
      <c r="M134" s="210"/>
      <c r="N134" s="699"/>
      <c r="O134" s="209"/>
    </row>
    <row r="135" spans="1:15" ht="13.5" thickTop="1" thickBot="1">
      <c r="A135" s="862"/>
      <c r="B135" s="207"/>
      <c r="C135" s="208" t="s">
        <v>91</v>
      </c>
      <c r="D135" s="326">
        <f t="shared" si="24"/>
        <v>0</v>
      </c>
      <c r="E135" s="327"/>
      <c r="F135" s="327"/>
      <c r="G135" s="327"/>
      <c r="H135" s="327"/>
      <c r="I135" s="326"/>
      <c r="J135" s="209">
        <f t="shared" si="25"/>
        <v>0</v>
      </c>
      <c r="K135" s="210"/>
      <c r="L135" s="210"/>
      <c r="M135" s="210"/>
      <c r="N135" s="210"/>
      <c r="O135" s="209"/>
    </row>
    <row r="136" spans="1:15" ht="13.5" thickTop="1" thickBot="1">
      <c r="A136" s="862"/>
      <c r="B136" s="182" t="s">
        <v>252</v>
      </c>
      <c r="C136" s="182" t="s">
        <v>93</v>
      </c>
      <c r="D136" s="324">
        <f t="shared" si="24"/>
        <v>0</v>
      </c>
      <c r="E136" s="324"/>
      <c r="F136" s="324"/>
      <c r="G136" s="328"/>
      <c r="H136" s="328"/>
      <c r="I136" s="324"/>
      <c r="J136" s="196">
        <f t="shared" si="25"/>
        <v>0</v>
      </c>
      <c r="K136" s="196"/>
      <c r="L136" s="196"/>
      <c r="M136" s="211"/>
      <c r="N136" s="211"/>
      <c r="O136" s="196"/>
    </row>
    <row r="137" spans="1:15" ht="13.5" thickTop="1" thickBot="1">
      <c r="A137" s="862"/>
      <c r="B137" s="182" t="s">
        <v>253</v>
      </c>
      <c r="C137" s="182" t="s">
        <v>95</v>
      </c>
      <c r="D137" s="330">
        <f t="shared" si="24"/>
        <v>0</v>
      </c>
      <c r="E137" s="380"/>
      <c r="F137" s="331"/>
      <c r="G137" s="326"/>
      <c r="H137" s="326"/>
      <c r="I137" s="324"/>
      <c r="J137" s="213">
        <f t="shared" si="25"/>
        <v>0</v>
      </c>
      <c r="K137" s="383"/>
      <c r="L137" s="320"/>
      <c r="M137" s="209"/>
      <c r="N137" s="209"/>
      <c r="O137" s="196"/>
    </row>
    <row r="138" spans="1:15" ht="13.5" thickTop="1" thickBot="1">
      <c r="A138" s="862"/>
      <c r="B138" s="207"/>
      <c r="C138" s="208" t="s">
        <v>89</v>
      </c>
      <c r="D138" s="326">
        <f t="shared" si="24"/>
        <v>0</v>
      </c>
      <c r="E138" s="327"/>
      <c r="F138" s="327"/>
      <c r="G138" s="326"/>
      <c r="H138" s="326"/>
      <c r="I138" s="327"/>
      <c r="J138" s="209">
        <f t="shared" si="25"/>
        <v>0</v>
      </c>
      <c r="K138" s="210"/>
      <c r="L138" s="210"/>
      <c r="M138" s="209"/>
      <c r="N138" s="209"/>
      <c r="O138" s="210"/>
    </row>
    <row r="139" spans="1:15" ht="13.5" thickTop="1" thickBot="1">
      <c r="A139" s="862"/>
      <c r="B139" s="207"/>
      <c r="C139" s="208" t="s">
        <v>90</v>
      </c>
      <c r="D139" s="326">
        <f t="shared" si="24"/>
        <v>0</v>
      </c>
      <c r="E139" s="327"/>
      <c r="F139" s="327"/>
      <c r="G139" s="327"/>
      <c r="H139" s="326"/>
      <c r="I139" s="326"/>
      <c r="J139" s="209">
        <f t="shared" si="25"/>
        <v>0</v>
      </c>
      <c r="K139" s="210"/>
      <c r="L139" s="210"/>
      <c r="M139" s="210"/>
      <c r="N139" s="209"/>
      <c r="O139" s="209"/>
    </row>
    <row r="140" spans="1:15" ht="13.5" thickTop="1" thickBot="1">
      <c r="A140" s="862"/>
      <c r="B140" s="207"/>
      <c r="C140" s="208" t="s">
        <v>91</v>
      </c>
      <c r="D140" s="326">
        <f t="shared" si="24"/>
        <v>0</v>
      </c>
      <c r="E140" s="327"/>
      <c r="F140" s="327"/>
      <c r="G140" s="327"/>
      <c r="H140" s="327"/>
      <c r="I140" s="326"/>
      <c r="J140" s="209">
        <f t="shared" si="25"/>
        <v>0</v>
      </c>
      <c r="K140" s="210"/>
      <c r="L140" s="210"/>
      <c r="M140" s="210"/>
      <c r="N140" s="210"/>
      <c r="O140" s="209"/>
    </row>
    <row r="141" spans="1:15" ht="13.5" thickTop="1" thickBot="1">
      <c r="A141" s="862"/>
      <c r="B141" s="182" t="s">
        <v>254</v>
      </c>
      <c r="C141" s="182" t="s">
        <v>97</v>
      </c>
      <c r="D141" s="324">
        <f t="shared" si="24"/>
        <v>0</v>
      </c>
      <c r="E141" s="324"/>
      <c r="F141" s="324"/>
      <c r="G141" s="324"/>
      <c r="H141" s="324"/>
      <c r="I141" s="324"/>
      <c r="J141" s="196">
        <f t="shared" si="25"/>
        <v>0</v>
      </c>
      <c r="K141" s="196"/>
      <c r="L141" s="196"/>
      <c r="M141" s="196"/>
      <c r="N141" s="185"/>
      <c r="O141" s="196"/>
    </row>
    <row r="142" spans="1:15" ht="13.5" thickTop="1" thickBot="1">
      <c r="A142" s="862"/>
      <c r="B142" s="182" t="s">
        <v>255</v>
      </c>
      <c r="C142" s="182" t="s">
        <v>99</v>
      </c>
      <c r="D142" s="324">
        <f t="shared" si="24"/>
        <v>0</v>
      </c>
      <c r="E142" s="324"/>
      <c r="F142" s="324"/>
      <c r="G142" s="324"/>
      <c r="H142" s="323"/>
      <c r="I142" s="324"/>
      <c r="J142" s="196">
        <f t="shared" si="25"/>
        <v>0</v>
      </c>
      <c r="K142" s="196"/>
      <c r="L142" s="196"/>
      <c r="M142" s="196"/>
      <c r="N142" s="196"/>
      <c r="O142" s="196"/>
    </row>
    <row r="143" spans="1:15" ht="12.75" customHeight="1" thickTop="1" thickBot="1">
      <c r="A143" s="862"/>
      <c r="B143" s="193" t="s">
        <v>100</v>
      </c>
      <c r="C143" s="193" t="s">
        <v>101</v>
      </c>
      <c r="D143" s="197">
        <f>SUM(E143:I143)</f>
        <v>880042.7</v>
      </c>
      <c r="E143" s="216">
        <f>SUM(E144:E147)</f>
        <v>0</v>
      </c>
      <c r="F143" s="216">
        <f>SUM(F144:F147)</f>
        <v>288700</v>
      </c>
      <c r="G143" s="216">
        <f>SUM(G144:G147)</f>
        <v>12922.5</v>
      </c>
      <c r="H143" s="216">
        <f>SUM(H144:H147)</f>
        <v>231428.1</v>
      </c>
      <c r="I143" s="197">
        <f>SUM(I144:I147)</f>
        <v>346992.1</v>
      </c>
      <c r="J143" s="197">
        <f>SUM(K143:O143)</f>
        <v>816950.88599999994</v>
      </c>
      <c r="K143" s="216">
        <f>SUM(K144:K147)</f>
        <v>0</v>
      </c>
      <c r="L143" s="703">
        <f>SUM(L144:L147)</f>
        <v>290553.80200000003</v>
      </c>
      <c r="M143" s="703">
        <f>SUM(M144:M147)</f>
        <v>7573.3490000000002</v>
      </c>
      <c r="N143" s="703">
        <f>SUM(N144:N147)</f>
        <v>191805.80299999999</v>
      </c>
      <c r="O143" s="704">
        <f>SUM(O144:O147)</f>
        <v>327017.93199999997</v>
      </c>
    </row>
    <row r="144" spans="1:15" ht="12.75" customHeight="1" thickTop="1" thickBot="1">
      <c r="A144" s="862"/>
      <c r="B144" s="186" t="s">
        <v>102</v>
      </c>
      <c r="C144" s="187" t="s">
        <v>103</v>
      </c>
      <c r="D144" s="217">
        <f>SUM(E144:I144)</f>
        <v>224640.16612000001</v>
      </c>
      <c r="E144" s="235"/>
      <c r="F144" s="235"/>
      <c r="G144" s="235"/>
      <c r="H144" s="235"/>
      <c r="I144" s="338">
        <f>январь!I144+февраль!I144+март!I144</f>
        <v>224640.16612000001</v>
      </c>
      <c r="J144" s="218">
        <f>SUM(K144:O144)</f>
        <v>233299.24799999999</v>
      </c>
      <c r="K144" s="706"/>
      <c r="L144" s="706"/>
      <c r="M144" s="706"/>
      <c r="N144" s="706"/>
      <c r="O144" s="344">
        <f>январь!O144+февраль!O144+март!O144</f>
        <v>233299.24799999999</v>
      </c>
    </row>
    <row r="145" spans="1:15" ht="12.75" customHeight="1" thickTop="1" thickBot="1">
      <c r="A145" s="862"/>
      <c r="B145" s="186" t="s">
        <v>104</v>
      </c>
      <c r="C145" s="187" t="s">
        <v>206</v>
      </c>
      <c r="D145" s="217">
        <f>SUM(E145:I145)</f>
        <v>0</v>
      </c>
      <c r="E145" s="235"/>
      <c r="F145" s="235"/>
      <c r="G145" s="235"/>
      <c r="H145" s="235"/>
      <c r="I145" s="338">
        <f>январь!I145+февраль!I145+март!I145</f>
        <v>0</v>
      </c>
      <c r="J145" s="218"/>
      <c r="K145" s="706"/>
      <c r="L145" s="706"/>
      <c r="M145" s="706"/>
      <c r="N145" s="706"/>
      <c r="O145" s="344">
        <f>январь!O145+февраль!O145+март!O145</f>
        <v>0</v>
      </c>
    </row>
    <row r="146" spans="1:15" ht="12.75" customHeight="1" thickTop="1" thickBot="1">
      <c r="A146" s="862"/>
      <c r="B146" s="186" t="s">
        <v>106</v>
      </c>
      <c r="C146" s="187" t="s">
        <v>105</v>
      </c>
      <c r="D146" s="217">
        <f>SUM(E146:I146)</f>
        <v>655402.53388</v>
      </c>
      <c r="E146" s="338">
        <f>январь!E146+февраль!E146+март!E146</f>
        <v>0</v>
      </c>
      <c r="F146" s="338">
        <f>январь!F146+февраль!F146+март!F146</f>
        <v>288700</v>
      </c>
      <c r="G146" s="338">
        <f>январь!G146+февраль!G146+март!G146</f>
        <v>12922.5</v>
      </c>
      <c r="H146" s="338">
        <f>январь!H146+февраль!H146+март!H146</f>
        <v>231428.1</v>
      </c>
      <c r="I146" s="338">
        <f>январь!I146+февраль!I146+март!I146</f>
        <v>122351.93388</v>
      </c>
      <c r="J146" s="218">
        <f>SUM(K146:O146)</f>
        <v>510243.60100000002</v>
      </c>
      <c r="K146" s="706"/>
      <c r="L146" s="344">
        <f>январь!L146+февраль!L146+март!L146</f>
        <v>290553.80200000003</v>
      </c>
      <c r="M146" s="344">
        <f>январь!M146+февраль!M146+март!M146</f>
        <v>7114.5830000000005</v>
      </c>
      <c r="N146" s="344">
        <f>январь!N146+февраль!N146+март!N146</f>
        <v>134574.53899999999</v>
      </c>
      <c r="O146" s="344">
        <f>январь!O146+февраль!O146+март!O146</f>
        <v>78000.676999999996</v>
      </c>
    </row>
    <row r="147" spans="1:15" ht="12.75" customHeight="1" thickTop="1" thickBot="1">
      <c r="A147" s="862"/>
      <c r="B147" s="186" t="s">
        <v>207</v>
      </c>
      <c r="C147" s="187" t="s">
        <v>107</v>
      </c>
      <c r="D147" s="217">
        <f>SUM(E147:I147)</f>
        <v>0</v>
      </c>
      <c r="E147" s="338">
        <f>январь!E147+февраль!E147+март!E147</f>
        <v>0</v>
      </c>
      <c r="F147" s="338">
        <f>январь!F147+февраль!F147+март!F147</f>
        <v>0</v>
      </c>
      <c r="G147" s="338">
        <f>январь!G147+февраль!G147+март!G147</f>
        <v>0</v>
      </c>
      <c r="H147" s="338">
        <f>январь!H147+февраль!H147+март!H147</f>
        <v>0</v>
      </c>
      <c r="I147" s="338">
        <f>январь!I147+февраль!I147+март!I147</f>
        <v>0</v>
      </c>
      <c r="J147" s="218">
        <f>SUM(K147:O147)</f>
        <v>73408.036999999997</v>
      </c>
      <c r="K147" s="344">
        <f>январь!K147+февраль!K147+март!K147</f>
        <v>0</v>
      </c>
      <c r="L147" s="344">
        <f>январь!L147+февраль!L147+март!L147</f>
        <v>0</v>
      </c>
      <c r="M147" s="344">
        <f>январь!M147+февраль!M147+март!M147</f>
        <v>458.76599999999996</v>
      </c>
      <c r="N147" s="344">
        <f>январь!N147+февраль!N147+март!N147</f>
        <v>57231.263999999996</v>
      </c>
      <c r="O147" s="344">
        <f>январь!O147+февраль!O147+март!O147</f>
        <v>15718.006999999998</v>
      </c>
    </row>
    <row r="148" spans="1:15" ht="12.75" customHeight="1" thickTop="1" thickBot="1">
      <c r="A148" s="862"/>
      <c r="B148" s="186" t="s">
        <v>108</v>
      </c>
      <c r="C148" s="186" t="s">
        <v>208</v>
      </c>
      <c r="D148" s="291">
        <f>D150/1.18/D143</f>
        <v>1.1687364434142749</v>
      </c>
      <c r="E148" s="596">
        <v>0.68011999999999984</v>
      </c>
      <c r="F148" s="596">
        <v>0.68011999999999984</v>
      </c>
      <c r="G148" s="596">
        <v>0.88302999999999998</v>
      </c>
      <c r="H148" s="596">
        <v>1.42133</v>
      </c>
      <c r="I148" s="596">
        <v>2.0129100000000002</v>
      </c>
      <c r="J148" s="291">
        <f>J150/1.18/J143</f>
        <v>1.1303511214381619</v>
      </c>
      <c r="K148" s="596">
        <v>0.67453791459937607</v>
      </c>
      <c r="L148" s="596">
        <v>0.67453791459937607</v>
      </c>
      <c r="M148" s="596">
        <v>0.87936496918338247</v>
      </c>
      <c r="N148" s="596">
        <v>1.4092130621303469</v>
      </c>
      <c r="O148" s="596">
        <v>2.0116434350486609</v>
      </c>
    </row>
    <row r="149" spans="1:15" ht="12.75" customHeight="1" thickTop="1" thickBot="1">
      <c r="A149" s="862"/>
      <c r="B149" s="186" t="s">
        <v>205</v>
      </c>
      <c r="C149" s="186" t="s">
        <v>208</v>
      </c>
      <c r="D149" s="291"/>
      <c r="E149" s="289"/>
      <c r="F149" s="290"/>
      <c r="G149" s="290"/>
      <c r="H149" s="290"/>
      <c r="I149" s="598">
        <v>1.2726900000000003</v>
      </c>
      <c r="J149" s="291"/>
      <c r="K149" s="289"/>
      <c r="L149" s="290"/>
      <c r="M149" s="290"/>
      <c r="N149" s="290"/>
      <c r="O149" s="598">
        <v>1.2726899999694816</v>
      </c>
    </row>
    <row r="150" spans="1:15" ht="12.75" customHeight="1" thickTop="1" thickBot="1">
      <c r="A150" s="862"/>
      <c r="B150" s="186" t="s">
        <v>109</v>
      </c>
      <c r="C150" s="219" t="s">
        <v>110</v>
      </c>
      <c r="D150" s="285">
        <f>SUM(E150:I150)</f>
        <v>1213674.8107958208</v>
      </c>
      <c r="E150" s="344">
        <f>январь!E150+февраль!E150+март!E150</f>
        <v>0</v>
      </c>
      <c r="F150" s="344">
        <f>январь!F150+февраль!F150+март!F150</f>
        <v>184092.50145930969</v>
      </c>
      <c r="G150" s="344">
        <f>январь!G150+февраль!G150+март!G150</f>
        <v>13464.927106499999</v>
      </c>
      <c r="H150" s="344">
        <f>январь!H150+февраль!H150+март!H150</f>
        <v>388144.12762013997</v>
      </c>
      <c r="I150" s="344">
        <f>январь!I150+февраль!I150+март!I150</f>
        <v>627973.25460987119</v>
      </c>
      <c r="J150" s="285">
        <f>SUM(K150:O150)</f>
        <v>1089660.7931769998</v>
      </c>
      <c r="K150" s="344">
        <f>январь!K150+февраль!K150+март!K150</f>
        <v>0</v>
      </c>
      <c r="L150" s="344">
        <f>январь!L150+февраль!L150+март!L150</f>
        <v>190027.40535539997</v>
      </c>
      <c r="M150" s="344">
        <f>январь!M150+февраль!M150+март!M150</f>
        <v>7858.4906157999994</v>
      </c>
      <c r="N150" s="344">
        <f>январь!N150+февраль!N150+март!N150</f>
        <v>318948.38671639998</v>
      </c>
      <c r="O150" s="344">
        <f>январь!O150+февраль!O150+март!O150</f>
        <v>572826.51048939989</v>
      </c>
    </row>
    <row r="151" spans="1:15" ht="12.75" customHeight="1" thickTop="1" thickBot="1">
      <c r="A151" s="863" t="s">
        <v>111</v>
      </c>
      <c r="B151" s="220" t="s">
        <v>112</v>
      </c>
      <c r="C151" s="221" t="s">
        <v>113</v>
      </c>
      <c r="D151" s="222">
        <f>SUM(E151:I151)</f>
        <v>246770</v>
      </c>
      <c r="E151" s="222">
        <f>E44-E34-E46</f>
        <v>0</v>
      </c>
      <c r="F151" s="222">
        <f>F44-F34-F46</f>
        <v>39220</v>
      </c>
      <c r="G151" s="222">
        <f>G44-G34-G46</f>
        <v>19400</v>
      </c>
      <c r="H151" s="222">
        <f>H44-H34-H46</f>
        <v>72460</v>
      </c>
      <c r="I151" s="222">
        <f>I44-I34-I46</f>
        <v>115690</v>
      </c>
      <c r="J151" s="335">
        <f>SUM(K151:O151)</f>
        <v>262956.02</v>
      </c>
      <c r="K151" s="222">
        <f>K44-K34-K46</f>
        <v>0</v>
      </c>
      <c r="L151" s="335">
        <f>L44-L34-L46</f>
        <v>38012.040399999998</v>
      </c>
      <c r="M151" s="335">
        <f>M44-M34-M46</f>
        <v>16405.235999999946</v>
      </c>
      <c r="N151" s="335">
        <f>N44-N34-N46</f>
        <v>66581.128599999938</v>
      </c>
      <c r="O151" s="335">
        <f>O44-O34-O46</f>
        <v>141957.61500000011</v>
      </c>
    </row>
    <row r="152" spans="1:15" ht="12.75" customHeight="1" thickTop="1" thickBot="1">
      <c r="A152" s="863"/>
      <c r="B152" s="223" t="s">
        <v>114</v>
      </c>
      <c r="C152" s="193" t="s">
        <v>115</v>
      </c>
      <c r="D152" s="346">
        <f t="shared" ref="D152:J152" si="26">IF(D44=0,0,D151/D44*100)</f>
        <v>21.680152517505249</v>
      </c>
      <c r="E152" s="346">
        <f t="shared" si="26"/>
        <v>0</v>
      </c>
      <c r="F152" s="346">
        <f t="shared" si="26"/>
        <v>4.6864544498613903</v>
      </c>
      <c r="G152" s="346">
        <f t="shared" si="26"/>
        <v>5.5510091963626582</v>
      </c>
      <c r="H152" s="346">
        <f t="shared" si="26"/>
        <v>8.6040657357271773</v>
      </c>
      <c r="I152" s="346">
        <f t="shared" si="26"/>
        <v>24.75446667379908</v>
      </c>
      <c r="J152" s="346">
        <f t="shared" si="26"/>
        <v>24.211417741556112</v>
      </c>
      <c r="K152" s="346">
        <f>IF(K44=0,0,K151/K44*100)</f>
        <v>0</v>
      </c>
      <c r="L152" s="346">
        <f t="shared" ref="L152:O152" si="27">IF(L44=0,0,L151/L44*100)</f>
        <v>4.5266612855757966</v>
      </c>
      <c r="M152" s="346">
        <f t="shared" si="27"/>
        <v>5.2895327501633842</v>
      </c>
      <c r="N152" s="346">
        <f t="shared" si="27"/>
        <v>8.2569356672206453</v>
      </c>
      <c r="O152" s="346">
        <f t="shared" si="27"/>
        <v>29.981760746877235</v>
      </c>
    </row>
    <row r="153" spans="1:15" ht="12.75" customHeight="1" thickTop="1" thickBot="1">
      <c r="A153" s="863"/>
      <c r="B153" s="223" t="s">
        <v>116</v>
      </c>
      <c r="C153" s="193" t="s">
        <v>117</v>
      </c>
      <c r="D153" s="346">
        <f t="shared" ref="D153:J153" si="28">IF(D45=0,0,D151/D45*100)</f>
        <v>21.680152517505249</v>
      </c>
      <c r="E153" s="346">
        <f t="shared" si="28"/>
        <v>0</v>
      </c>
      <c r="F153" s="346">
        <f t="shared" si="28"/>
        <v>4.6864544498613903</v>
      </c>
      <c r="G153" s="346">
        <f t="shared" si="28"/>
        <v>5.7565313634522575</v>
      </c>
      <c r="H153" s="346">
        <f t="shared" si="28"/>
        <v>9.3936993246155751</v>
      </c>
      <c r="I153" s="346">
        <f t="shared" si="28"/>
        <v>25.004209153541922</v>
      </c>
      <c r="J153" s="346">
        <f t="shared" si="28"/>
        <v>24.211417741556112</v>
      </c>
      <c r="K153" s="346">
        <f>IF(K45=0,0,K151/K45*100)</f>
        <v>0</v>
      </c>
      <c r="L153" s="346">
        <f t="shared" ref="L153:O153" si="29">IF(L45=0,0,L151/L45*100)</f>
        <v>4.5266612855757966</v>
      </c>
      <c r="M153" s="346">
        <f t="shared" si="29"/>
        <v>5.4796775961074502</v>
      </c>
      <c r="N153" s="346">
        <f t="shared" si="29"/>
        <v>9.0963003938296776</v>
      </c>
      <c r="O153" s="346">
        <f t="shared" si="29"/>
        <v>30.269726408571167</v>
      </c>
    </row>
    <row r="154" spans="1:15" ht="12.75" customHeight="1" thickTop="1" thickBot="1">
      <c r="A154" s="863"/>
      <c r="B154" s="224" t="s">
        <v>118</v>
      </c>
      <c r="C154" s="225" t="s">
        <v>209</v>
      </c>
      <c r="D154" s="451">
        <f>SUM(E154:I154)</f>
        <v>13455.396117830272</v>
      </c>
      <c r="E154" s="442"/>
      <c r="F154" s="184">
        <f>январь!F154+февраль!F154+март!F154</f>
        <v>13455.396117830272</v>
      </c>
      <c r="G154" s="442"/>
      <c r="H154" s="442"/>
      <c r="I154" s="442"/>
      <c r="J154" s="451">
        <f>SUM(K154:O154)</f>
        <v>12067.106959399998</v>
      </c>
      <c r="K154" s="442">
        <v>0</v>
      </c>
      <c r="L154" s="449">
        <f>январь!L154+февраль!L154+март!L154</f>
        <v>12067.106959399998</v>
      </c>
      <c r="M154" s="442">
        <v>0</v>
      </c>
      <c r="N154" s="442">
        <v>0</v>
      </c>
      <c r="O154" s="442">
        <v>0</v>
      </c>
    </row>
    <row r="155" spans="1:15" ht="12.75" customHeight="1" thickTop="1" thickBot="1">
      <c r="A155" s="863"/>
      <c r="B155" s="227" t="s">
        <v>120</v>
      </c>
      <c r="C155" s="186" t="s">
        <v>121</v>
      </c>
      <c r="D155" s="448">
        <f>SUM(E155:I155)</f>
        <v>246770</v>
      </c>
      <c r="E155" s="448">
        <f>E151</f>
        <v>0</v>
      </c>
      <c r="F155" s="448">
        <f>F151</f>
        <v>39220</v>
      </c>
      <c r="G155" s="448">
        <f>G151</f>
        <v>19400</v>
      </c>
      <c r="H155" s="448">
        <f>H151</f>
        <v>72460</v>
      </c>
      <c r="I155" s="448">
        <f>I151</f>
        <v>115690</v>
      </c>
      <c r="J155" s="448">
        <f>SUM(K155:O155)</f>
        <v>262956.02</v>
      </c>
      <c r="K155" s="448">
        <f>K151</f>
        <v>0</v>
      </c>
      <c r="L155" s="448">
        <f>L151</f>
        <v>38012.040399999998</v>
      </c>
      <c r="M155" s="448">
        <f>M151</f>
        <v>16405.235999999946</v>
      </c>
      <c r="N155" s="448">
        <f>N151</f>
        <v>66581.128599999938</v>
      </c>
      <c r="O155" s="448">
        <f>O151</f>
        <v>141957.61500000011</v>
      </c>
    </row>
    <row r="156" spans="1:15" ht="12.75" customHeight="1" thickTop="1" thickBot="1">
      <c r="A156" s="863"/>
      <c r="B156" s="227" t="s">
        <v>122</v>
      </c>
      <c r="C156" s="186" t="s">
        <v>123</v>
      </c>
      <c r="D156" s="444">
        <f>D157/1.18/D155</f>
        <v>1.6154344409690273</v>
      </c>
      <c r="E156" s="341">
        <v>1.6154344409690273</v>
      </c>
      <c r="F156" s="341">
        <v>1.6154344409690273</v>
      </c>
      <c r="G156" s="341">
        <v>1.6154344409690273</v>
      </c>
      <c r="H156" s="341">
        <v>1.6154344409690273</v>
      </c>
      <c r="I156" s="341">
        <v>1.6154344409690273</v>
      </c>
      <c r="J156" s="444">
        <f>J157/1.18/J155</f>
        <v>1.488032837468406</v>
      </c>
      <c r="K156" s="341">
        <v>1.4880328374684062</v>
      </c>
      <c r="L156" s="341">
        <v>1.4880328374684062</v>
      </c>
      <c r="M156" s="341">
        <v>1.4880328374684062</v>
      </c>
      <c r="N156" s="341">
        <v>1.4880328374684062</v>
      </c>
      <c r="O156" s="341">
        <v>1.4880328374684062</v>
      </c>
    </row>
    <row r="157" spans="1:15" ht="12.75" customHeight="1" thickTop="1" thickBot="1">
      <c r="A157" s="863"/>
      <c r="B157" s="227" t="s">
        <v>124</v>
      </c>
      <c r="C157" s="186" t="s">
        <v>125</v>
      </c>
      <c r="D157" s="448">
        <f>SUM(E157:I157)</f>
        <v>470396.0932575537</v>
      </c>
      <c r="E157" s="448">
        <f>E155*E156*1.18</f>
        <v>0</v>
      </c>
      <c r="F157" s="448">
        <f>F155*F156*1.18</f>
        <v>74761.659754270193</v>
      </c>
      <c r="G157" s="448">
        <f>G155*G156*1.18</f>
        <v>36980.525222662975</v>
      </c>
      <c r="H157" s="448">
        <f>H155*H156*1.18</f>
        <v>138124.16791928653</v>
      </c>
      <c r="I157" s="448">
        <f>I155*I156*1.18</f>
        <v>220529.740361334</v>
      </c>
      <c r="J157" s="448">
        <f>SUM(K157:O157)</f>
        <v>461718.88723259873</v>
      </c>
      <c r="K157" s="448">
        <f>K155*K156*1.18</f>
        <v>0</v>
      </c>
      <c r="L157" s="448">
        <f>L155*L156*1.18</f>
        <v>66744.533914563304</v>
      </c>
      <c r="M157" s="448">
        <f>M155*M156*1.18</f>
        <v>28805.605251814144</v>
      </c>
      <c r="N157" s="448">
        <f>N155*N156*1.18</f>
        <v>116908.38874075798</v>
      </c>
      <c r="O157" s="448">
        <f>O155*O156*1.18</f>
        <v>249260.35932546333</v>
      </c>
    </row>
    <row r="158" spans="1:15" ht="12.75" customHeight="1" thickTop="1" thickBot="1">
      <c r="A158" s="863"/>
      <c r="B158" s="229" t="s">
        <v>126</v>
      </c>
      <c r="C158" s="225" t="s">
        <v>127</v>
      </c>
      <c r="D158" s="451">
        <f>SUM(E158:I158)</f>
        <v>237680</v>
      </c>
      <c r="E158" s="451">
        <v>0</v>
      </c>
      <c r="F158" s="449">
        <f>январь!F158+февраль!F158+март!F158</f>
        <v>39220</v>
      </c>
      <c r="G158" s="449">
        <f>январь!G158+февраль!G158+март!G158</f>
        <v>19400</v>
      </c>
      <c r="H158" s="449">
        <f>январь!H158+февраль!H158+март!H158</f>
        <v>72460</v>
      </c>
      <c r="I158" s="449">
        <f>январь!I158+февраль!I158+март!I158</f>
        <v>106600</v>
      </c>
      <c r="J158" s="451">
        <f>SUM(K158:O158)</f>
        <v>227100.43799999994</v>
      </c>
      <c r="K158" s="451">
        <v>0</v>
      </c>
      <c r="L158" s="449">
        <f>январь!L158+февраль!L158+март!L158</f>
        <v>38012.040399999983</v>
      </c>
      <c r="M158" s="449">
        <f>январь!M158+февраль!M158+март!M158</f>
        <v>16405.235999999979</v>
      </c>
      <c r="N158" s="449">
        <f>январь!N158+февраль!N158+март!N158</f>
        <v>66581.128599999982</v>
      </c>
      <c r="O158" s="449">
        <f>январь!O158+февраль!O158+март!O158</f>
        <v>106102.033</v>
      </c>
    </row>
    <row r="159" spans="1:15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30">IF(D44=0,0,D158/D44*100)</f>
        <v>20.881544151884945</v>
      </c>
      <c r="E159" s="345">
        <f t="shared" si="30"/>
        <v>0</v>
      </c>
      <c r="F159" s="345">
        <f t="shared" si="30"/>
        <v>4.6864544498613903</v>
      </c>
      <c r="G159" s="345">
        <f t="shared" si="30"/>
        <v>5.5510091963626582</v>
      </c>
      <c r="H159" s="345">
        <f t="shared" si="30"/>
        <v>8.6040657357271773</v>
      </c>
      <c r="I159" s="345">
        <f t="shared" si="30"/>
        <v>22.809457579972182</v>
      </c>
      <c r="J159" s="345">
        <f t="shared" si="30"/>
        <v>20.910050181427152</v>
      </c>
      <c r="K159" s="345">
        <f>IF(K44=0,0,K158/K44*100)</f>
        <v>0</v>
      </c>
      <c r="L159" s="345">
        <f t="shared" si="30"/>
        <v>4.5266612855757957</v>
      </c>
      <c r="M159" s="345">
        <f t="shared" si="30"/>
        <v>5.2895327501633949</v>
      </c>
      <c r="N159" s="345">
        <f t="shared" si="30"/>
        <v>8.2569356672206506</v>
      </c>
      <c r="O159" s="345">
        <f t="shared" si="30"/>
        <v>22.408982907773353</v>
      </c>
    </row>
    <row r="160" spans="1:15" ht="12.75" customHeight="1" thickTop="1" thickBot="1">
      <c r="A160" s="863"/>
      <c r="B160" s="230" t="s">
        <v>130</v>
      </c>
      <c r="C160" s="225" t="s">
        <v>131</v>
      </c>
      <c r="D160" s="345">
        <f t="shared" ref="D160:I160" si="31">IF(D45=0,0,D158/D45*100)</f>
        <v>20.881544151884945</v>
      </c>
      <c r="E160" s="345">
        <f t="shared" si="31"/>
        <v>0</v>
      </c>
      <c r="F160" s="345">
        <f t="shared" si="31"/>
        <v>4.6864544498613903</v>
      </c>
      <c r="G160" s="345">
        <f t="shared" si="31"/>
        <v>5.7565313634522575</v>
      </c>
      <c r="H160" s="345">
        <f t="shared" si="31"/>
        <v>9.3936993246155751</v>
      </c>
      <c r="I160" s="345">
        <f t="shared" si="31"/>
        <v>23.039577282112276</v>
      </c>
      <c r="J160" s="345">
        <f>IF(J45=0,0,J158/J45*100)</f>
        <v>20.910050181427152</v>
      </c>
      <c r="K160" s="345">
        <f>IF(K45=0,0,K158/K45*100)</f>
        <v>0</v>
      </c>
      <c r="L160" s="345">
        <f t="shared" ref="L160:O160" si="32">IF(L45=0,0,L158/L45*100)</f>
        <v>4.5266612855757957</v>
      </c>
      <c r="M160" s="345">
        <f t="shared" si="32"/>
        <v>5.4796775961074617</v>
      </c>
      <c r="N160" s="345">
        <f t="shared" si="32"/>
        <v>9.0963003938296829</v>
      </c>
      <c r="O160" s="345">
        <f t="shared" si="32"/>
        <v>22.624214349495706</v>
      </c>
    </row>
    <row r="161" spans="1:17" ht="12.75" customHeight="1" thickTop="1" thickBot="1">
      <c r="A161" s="863"/>
      <c r="B161" s="231" t="s">
        <v>132</v>
      </c>
      <c r="C161" s="186" t="s">
        <v>133</v>
      </c>
      <c r="D161" s="450">
        <f>SUM(E161:I161)</f>
        <v>9090</v>
      </c>
      <c r="E161" s="251">
        <f>E151-E158</f>
        <v>0</v>
      </c>
      <c r="F161" s="450">
        <f>F151-F158</f>
        <v>0</v>
      </c>
      <c r="G161" s="450">
        <f>G151-G158</f>
        <v>0</v>
      </c>
      <c r="H161" s="450">
        <f>H151-H158</f>
        <v>0</v>
      </c>
      <c r="I161" s="450">
        <f>I151-I158</f>
        <v>9090</v>
      </c>
      <c r="J161" s="450">
        <f>SUM(K161:O161)</f>
        <v>35855.582000000082</v>
      </c>
      <c r="K161" s="450">
        <f>K151-K158</f>
        <v>0</v>
      </c>
      <c r="L161" s="450">
        <f>L151-L158</f>
        <v>0</v>
      </c>
      <c r="M161" s="450">
        <f>M151-M158</f>
        <v>-3.2741809263825417E-11</v>
      </c>
      <c r="N161" s="450">
        <f>N151-N158</f>
        <v>0</v>
      </c>
      <c r="O161" s="450">
        <f>O151-O158</f>
        <v>35855.582000000111</v>
      </c>
    </row>
    <row r="162" spans="1:17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0.79860836562030513</v>
      </c>
      <c r="E162" s="347">
        <f t="shared" ref="E162:I162" si="33">IF(E44=0,0,E161/E44*100)</f>
        <v>0</v>
      </c>
      <c r="F162" s="347">
        <f t="shared" si="33"/>
        <v>0</v>
      </c>
      <c r="G162" s="347">
        <f t="shared" si="33"/>
        <v>0</v>
      </c>
      <c r="H162" s="347">
        <f t="shared" si="33"/>
        <v>0</v>
      </c>
      <c r="I162" s="347">
        <f t="shared" si="33"/>
        <v>1.9450090938268962</v>
      </c>
      <c r="J162" s="347">
        <f>IF(J44=0,0,J161/J44*100)</f>
        <v>3.30136756012896</v>
      </c>
      <c r="K162" s="347">
        <f>IF(K44=0,0,K161/K44*100)</f>
        <v>0</v>
      </c>
      <c r="L162" s="347">
        <f t="shared" ref="L162:O162" si="34">IF(L44=0,0,L161/L44*100)</f>
        <v>0</v>
      </c>
      <c r="M162" s="347">
        <f t="shared" si="34"/>
        <v>-1.055692660566468E-14</v>
      </c>
      <c r="N162" s="347">
        <f t="shared" si="34"/>
        <v>0</v>
      </c>
      <c r="O162" s="347">
        <f t="shared" si="34"/>
        <v>7.5727778391038783</v>
      </c>
    </row>
    <row r="163" spans="1:17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0.79860836562030513</v>
      </c>
      <c r="E163" s="347">
        <f t="shared" ref="E163:O163" si="35">IF(E45=0,0,E161/E45*100)</f>
        <v>0</v>
      </c>
      <c r="F163" s="347">
        <f t="shared" si="35"/>
        <v>0</v>
      </c>
      <c r="G163" s="347">
        <f t="shared" si="35"/>
        <v>0</v>
      </c>
      <c r="H163" s="347">
        <f t="shared" si="35"/>
        <v>0</v>
      </c>
      <c r="I163" s="347">
        <f t="shared" si="35"/>
        <v>1.9646318714296489</v>
      </c>
      <c r="J163" s="347">
        <f t="shared" si="35"/>
        <v>3.30136756012896</v>
      </c>
      <c r="K163" s="347">
        <f t="shared" si="35"/>
        <v>0</v>
      </c>
      <c r="L163" s="347">
        <f t="shared" si="35"/>
        <v>0</v>
      </c>
      <c r="M163" s="347">
        <f t="shared" si="35"/>
        <v>-1.0936420462284608E-14</v>
      </c>
      <c r="N163" s="347">
        <f t="shared" si="35"/>
        <v>0</v>
      </c>
      <c r="O163" s="347">
        <f t="shared" si="35"/>
        <v>7.6455120590754611</v>
      </c>
    </row>
    <row r="164" spans="1:17">
      <c r="A164" s="26" t="s">
        <v>210</v>
      </c>
      <c r="F164" s="318"/>
      <c r="G164" s="318"/>
      <c r="H164" s="318"/>
      <c r="I164" s="318"/>
      <c r="J164" s="80"/>
      <c r="K164" s="614"/>
      <c r="L164" s="614"/>
      <c r="M164" s="614"/>
      <c r="N164" s="614"/>
      <c r="O164" s="614"/>
      <c r="P164" s="614"/>
      <c r="Q164" s="614"/>
    </row>
    <row r="165" spans="1:17" ht="12.75" thickBot="1">
      <c r="J165" s="27"/>
      <c r="K165" s="82"/>
      <c r="L165" s="27"/>
      <c r="M165" s="27"/>
      <c r="N165" s="27"/>
      <c r="O165" s="27"/>
    </row>
    <row r="166" spans="1:17" ht="12.75" customHeight="1" thickBot="1">
      <c r="B166" s="854" t="s">
        <v>138</v>
      </c>
      <c r="C166" s="855" t="s">
        <v>139</v>
      </c>
      <c r="D166" s="851" t="s">
        <v>140</v>
      </c>
      <c r="E166" s="851"/>
      <c r="F166" s="851"/>
      <c r="G166" s="851"/>
      <c r="H166" s="851"/>
      <c r="I166" s="851"/>
      <c r="J166" s="851" t="s">
        <v>140</v>
      </c>
      <c r="K166" s="851"/>
      <c r="L166" s="851"/>
      <c r="M166" s="851"/>
      <c r="N166" s="851"/>
      <c r="O166" s="851"/>
    </row>
    <row r="167" spans="1:17">
      <c r="B167" s="854"/>
      <c r="C167" s="855"/>
      <c r="D167" s="28" t="s">
        <v>141</v>
      </c>
      <c r="E167" s="29"/>
      <c r="F167" s="29" t="s">
        <v>5</v>
      </c>
      <c r="G167" s="30" t="s">
        <v>74</v>
      </c>
      <c r="H167" s="30" t="s">
        <v>76</v>
      </c>
      <c r="I167" s="31" t="s">
        <v>8</v>
      </c>
      <c r="J167" s="28" t="s">
        <v>141</v>
      </c>
      <c r="K167" s="29"/>
      <c r="L167" s="29" t="s">
        <v>5</v>
      </c>
      <c r="M167" s="30" t="s">
        <v>74</v>
      </c>
      <c r="N167" s="30" t="s">
        <v>76</v>
      </c>
      <c r="O167" s="31" t="s">
        <v>8</v>
      </c>
    </row>
    <row r="168" spans="1:17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7" ht="12.75">
      <c r="B169" s="32" t="s">
        <v>10</v>
      </c>
      <c r="C169" s="33" t="s">
        <v>142</v>
      </c>
      <c r="D169" s="34">
        <f>D174+D175+D176</f>
        <v>1138230</v>
      </c>
      <c r="E169" s="35"/>
      <c r="F169" s="36">
        <f>F170+F174+F175+F176</f>
        <v>836880</v>
      </c>
      <c r="G169" s="36">
        <f>G170+G174+G175+G176</f>
        <v>338196</v>
      </c>
      <c r="H169" s="36">
        <f>H170+H174+H175+H176</f>
        <v>776930</v>
      </c>
      <c r="I169" s="37">
        <f>I170+I174+I175+I176</f>
        <v>467350</v>
      </c>
      <c r="J169" s="34">
        <f>J174+J175+J176</f>
        <v>1086082.702</v>
      </c>
      <c r="K169" s="35"/>
      <c r="L169" s="36">
        <f>L170+L174+L175+L176</f>
        <v>839736.79500000004</v>
      </c>
      <c r="M169" s="36">
        <f>M170+M174+M175+M176</f>
        <v>299383.234</v>
      </c>
      <c r="N169" s="36">
        <f>N170+N174+N175+N176</f>
        <v>733629.76060000015</v>
      </c>
      <c r="O169" s="37">
        <f>O170+O174+O175+O176</f>
        <v>473479.91400000011</v>
      </c>
    </row>
    <row r="170" spans="1:17" ht="12.75">
      <c r="B170" s="38" t="s">
        <v>12</v>
      </c>
      <c r="C170" s="39" t="s">
        <v>143</v>
      </c>
      <c r="D170" s="675">
        <f t="shared" ref="D170:D177" si="36">SUM(F170:I170)</f>
        <v>1281126</v>
      </c>
      <c r="E170" s="676"/>
      <c r="F170" s="676"/>
      <c r="G170" s="677">
        <f>SUM(G171:G173)</f>
        <v>161246</v>
      </c>
      <c r="H170" s="677">
        <f>SUM(H171:H173)</f>
        <v>652400</v>
      </c>
      <c r="I170" s="678">
        <f>SUM(I171:I173)</f>
        <v>467480</v>
      </c>
      <c r="J170" s="675">
        <f t="shared" ref="J170:J177" si="37">SUM(L170:O170)</f>
        <v>1260147.0016000003</v>
      </c>
      <c r="K170" s="676"/>
      <c r="L170" s="676"/>
      <c r="M170" s="677">
        <f>SUM(M171:M173)</f>
        <v>164481.05900000001</v>
      </c>
      <c r="N170" s="677">
        <f>SUM(N171:N173)</f>
        <v>622094.54260000016</v>
      </c>
      <c r="O170" s="678">
        <f>SUM(O171:O173)</f>
        <v>473571.40000000008</v>
      </c>
    </row>
    <row r="171" spans="1:17" ht="12.75">
      <c r="B171" s="40" t="s">
        <v>144</v>
      </c>
      <c r="C171" s="41" t="s">
        <v>145</v>
      </c>
      <c r="D171" s="42">
        <f t="shared" si="36"/>
        <v>508960</v>
      </c>
      <c r="E171" s="43"/>
      <c r="F171" s="44"/>
      <c r="G171" s="45">
        <f>G31-G49-G61-G73-G85-G97-G78-G109-G121-G54-G66-G90-G102-G114-G126</f>
        <v>161246</v>
      </c>
      <c r="H171" s="45">
        <f>H31-H49-H61-H73-H85-H97-H78-H54-H109-H66-H90-H102-H114-H121-H126</f>
        <v>347714</v>
      </c>
      <c r="I171" s="46"/>
      <c r="J171" s="42">
        <f t="shared" si="37"/>
        <v>511170.95260000008</v>
      </c>
      <c r="K171" s="43"/>
      <c r="L171" s="44"/>
      <c r="M171" s="45">
        <f>M31-M49-M61-M73-M85-M97-M78-M109-M121-M54-M66-M90-M102-M114-M126</f>
        <v>164481.05900000001</v>
      </c>
      <c r="N171" s="45">
        <f>N31-N49-N61-N73-N85-N97-N78-N54-N109-N66-N90-N102-N114-N121-N126</f>
        <v>346689.89360000007</v>
      </c>
      <c r="O171" s="46"/>
    </row>
    <row r="172" spans="1:17" ht="12.75">
      <c r="B172" s="47" t="s">
        <v>146</v>
      </c>
      <c r="C172" s="48" t="s">
        <v>6</v>
      </c>
      <c r="D172" s="42">
        <f t="shared" si="36"/>
        <v>304686</v>
      </c>
      <c r="E172" s="43"/>
      <c r="F172" s="44"/>
      <c r="G172" s="49"/>
      <c r="H172" s="45">
        <f>H32-H50-H62-H74-H86-H98-H110-H55-H67-H79-H91-H103-H115-H122-H127</f>
        <v>304686</v>
      </c>
      <c r="I172" s="50">
        <f>I32-I50-I55-I62-I67-I74-I79-I86-I91-I98-I103-I110-I115-I122-I127</f>
        <v>0</v>
      </c>
      <c r="J172" s="42">
        <f t="shared" si="37"/>
        <v>275404.64900000009</v>
      </c>
      <c r="K172" s="43"/>
      <c r="L172" s="44"/>
      <c r="M172" s="49"/>
      <c r="N172" s="45">
        <f>N32-N50-N62-N74-N86-N98-N110-N55-N67-N79-N91-N103-N115-N122-N127</f>
        <v>275404.64900000009</v>
      </c>
      <c r="O172" s="50">
        <f>O32-O50-O55-O62-O67-O74-O79-O86-O91-O98-O103-O110-O115-O122-O127</f>
        <v>0</v>
      </c>
    </row>
    <row r="173" spans="1:17" ht="12.75">
      <c r="B173" s="51" t="s">
        <v>147</v>
      </c>
      <c r="C173" s="52" t="s">
        <v>7</v>
      </c>
      <c r="D173" s="53">
        <f t="shared" si="36"/>
        <v>467480</v>
      </c>
      <c r="E173" s="54"/>
      <c r="F173" s="55"/>
      <c r="G173" s="56"/>
      <c r="H173" s="56"/>
      <c r="I173" s="57">
        <f>I33-I51-I87-I75-I99-I111-I56-I63-I68-I80-I92-I104-I116-I123-I128</f>
        <v>467480</v>
      </c>
      <c r="J173" s="53">
        <f t="shared" si="37"/>
        <v>473571.40000000008</v>
      </c>
      <c r="K173" s="54"/>
      <c r="L173" s="55"/>
      <c r="M173" s="56"/>
      <c r="N173" s="56"/>
      <c r="O173" s="57">
        <f>O33-O51-O87-O75-O99-O111-O56-O63-O68-O80-O92-O104-O116-O123-O128</f>
        <v>473571.40000000008</v>
      </c>
    </row>
    <row r="174" spans="1:17" ht="12.75">
      <c r="B174" s="58" t="s">
        <v>14</v>
      </c>
      <c r="C174" s="39" t="s">
        <v>148</v>
      </c>
      <c r="D174" s="110">
        <f t="shared" si="36"/>
        <v>691590</v>
      </c>
      <c r="E174" s="111"/>
      <c r="F174" s="111">
        <f>F28+E28</f>
        <v>566850</v>
      </c>
      <c r="G174" s="112">
        <f>G28</f>
        <v>114820</v>
      </c>
      <c r="H174" s="112">
        <f>H28</f>
        <v>9920</v>
      </c>
      <c r="I174" s="113">
        <f>I28</f>
        <v>0</v>
      </c>
      <c r="J174" s="110">
        <f t="shared" si="37"/>
        <v>768687.68799999997</v>
      </c>
      <c r="K174" s="111"/>
      <c r="L174" s="111">
        <f>L28+K28</f>
        <v>671735.89500000002</v>
      </c>
      <c r="M174" s="112">
        <f>M28</f>
        <v>88449.09199999999</v>
      </c>
      <c r="N174" s="112">
        <f>N28</f>
        <v>8502.7009999999991</v>
      </c>
      <c r="O174" s="113">
        <f>O28</f>
        <v>0</v>
      </c>
    </row>
    <row r="175" spans="1:17" ht="12.75">
      <c r="B175" s="59" t="s">
        <v>16</v>
      </c>
      <c r="C175" s="60" t="s">
        <v>149</v>
      </c>
      <c r="D175" s="123">
        <f t="shared" si="36"/>
        <v>438940</v>
      </c>
      <c r="E175" s="124"/>
      <c r="F175" s="125">
        <f>F23+F24+F25+E23+E24+E25</f>
        <v>270030</v>
      </c>
      <c r="G175" s="125">
        <f>G23+G24+G25</f>
        <v>54430</v>
      </c>
      <c r="H175" s="125">
        <f>H23+H24+H25</f>
        <v>114610</v>
      </c>
      <c r="I175" s="126">
        <f>I23+I24+I25</f>
        <v>-130</v>
      </c>
      <c r="J175" s="123">
        <f t="shared" si="37"/>
        <v>315619.21400000004</v>
      </c>
      <c r="K175" s="124"/>
      <c r="L175" s="125">
        <f>L23+L24+L25+K23+K24+K25</f>
        <v>168000.90000000002</v>
      </c>
      <c r="M175" s="125">
        <f>M23+M24+M25</f>
        <v>44677.283000000003</v>
      </c>
      <c r="N175" s="125">
        <f>N23+N24+N25</f>
        <v>103032.51700000001</v>
      </c>
      <c r="O175" s="126">
        <f>O23+O24+O25</f>
        <v>-91.486000000000004</v>
      </c>
    </row>
    <row r="176" spans="1:17" ht="13.5" thickBot="1">
      <c r="B176" s="61" t="s">
        <v>20</v>
      </c>
      <c r="C176" s="62" t="s">
        <v>150</v>
      </c>
      <c r="D176" s="129">
        <f t="shared" si="36"/>
        <v>7700</v>
      </c>
      <c r="E176" s="130"/>
      <c r="F176" s="131">
        <f>F29+E29</f>
        <v>0</v>
      </c>
      <c r="G176" s="131">
        <f>G29</f>
        <v>7700</v>
      </c>
      <c r="H176" s="131">
        <f>H29</f>
        <v>0</v>
      </c>
      <c r="I176" s="132">
        <f>I29</f>
        <v>0</v>
      </c>
      <c r="J176" s="129">
        <f t="shared" si="37"/>
        <v>1775.7999999999993</v>
      </c>
      <c r="K176" s="130"/>
      <c r="L176" s="131">
        <f>L29+K29</f>
        <v>0</v>
      </c>
      <c r="M176" s="131">
        <f>M29</f>
        <v>1775.7999999999993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36"/>
        <v>246770</v>
      </c>
      <c r="E177" s="136"/>
      <c r="F177" s="136">
        <f>F169-F180-G171-H171</f>
        <v>39220</v>
      </c>
      <c r="G177" s="136">
        <f>G169-G180-H172-I172</f>
        <v>19400</v>
      </c>
      <c r="H177" s="136">
        <f>H169-H180-I173</f>
        <v>72460</v>
      </c>
      <c r="I177" s="137">
        <f>I169-I180</f>
        <v>115690</v>
      </c>
      <c r="J177" s="135">
        <f t="shared" si="37"/>
        <v>262956.02000000008</v>
      </c>
      <c r="K177" s="136"/>
      <c r="L177" s="136">
        <f>L169-L180-M171-N171</f>
        <v>38012.04039999994</v>
      </c>
      <c r="M177" s="136">
        <f>M169-M180-N172-O172</f>
        <v>16405.235999999917</v>
      </c>
      <c r="N177" s="136">
        <f>N169-N180-O173</f>
        <v>66581.128600000113</v>
      </c>
      <c r="O177" s="137">
        <f>O169-O180</f>
        <v>141957.61500000011</v>
      </c>
    </row>
    <row r="178" spans="1:15" ht="13.5" thickBot="1">
      <c r="B178" s="64"/>
      <c r="C178" s="65" t="s">
        <v>152</v>
      </c>
      <c r="D178" s="441">
        <f>IF(D169=0,0,D177/D169*100)</f>
        <v>21.680152517505249</v>
      </c>
      <c r="E178" s="140"/>
      <c r="F178" s="441">
        <f t="shared" ref="F178:I178" si="38">IF(F169=0,0,F177/F169*100)</f>
        <v>4.6864544498613903</v>
      </c>
      <c r="G178" s="441">
        <f t="shared" si="38"/>
        <v>5.7363185844894682</v>
      </c>
      <c r="H178" s="441">
        <f t="shared" si="38"/>
        <v>9.3264515464713682</v>
      </c>
      <c r="I178" s="441">
        <f t="shared" si="38"/>
        <v>24.75446667379908</v>
      </c>
      <c r="J178" s="441">
        <f>IF(J169=0,0,J177/J169*100)</f>
        <v>24.211417741556119</v>
      </c>
      <c r="K178" s="140"/>
      <c r="L178" s="441">
        <f t="shared" ref="L178:O178" si="39">IF(L169=0,0,L177/L169*100)</f>
        <v>4.5266612855757904</v>
      </c>
      <c r="M178" s="441">
        <f t="shared" si="39"/>
        <v>5.4796775961074422</v>
      </c>
      <c r="N178" s="441">
        <f t="shared" si="39"/>
        <v>9.0755762887190734</v>
      </c>
      <c r="O178" s="441">
        <f t="shared" si="39"/>
        <v>29.981760746877235</v>
      </c>
    </row>
    <row r="179" spans="1:15" ht="26.25" thickBot="1">
      <c r="B179" s="66" t="s">
        <v>38</v>
      </c>
      <c r="C179" s="67" t="s">
        <v>153</v>
      </c>
      <c r="D179" s="143">
        <f t="shared" ref="D179:D184" si="40">SUM(F179:I179)</f>
        <v>0</v>
      </c>
      <c r="E179" s="144"/>
      <c r="F179" s="144"/>
      <c r="G179" s="145"/>
      <c r="H179" s="145"/>
      <c r="I179" s="146"/>
      <c r="J179" s="143">
        <f t="shared" ref="J179:J184" si="41">SUM(L179:O179)</f>
        <v>0</v>
      </c>
      <c r="K179" s="144"/>
      <c r="L179" s="144"/>
      <c r="M179" s="145"/>
      <c r="N179" s="145"/>
      <c r="O179" s="146"/>
    </row>
    <row r="180" spans="1:15" s="83" customFormat="1" ht="13.5" thickBot="1">
      <c r="B180" s="147" t="s">
        <v>52</v>
      </c>
      <c r="C180" s="148" t="s">
        <v>154</v>
      </c>
      <c r="D180" s="143">
        <f t="shared" si="40"/>
        <v>891460</v>
      </c>
      <c r="E180" s="144"/>
      <c r="F180" s="682">
        <f>F143+E143</f>
        <v>288700</v>
      </c>
      <c r="G180" s="682">
        <f>G143+G194</f>
        <v>14110</v>
      </c>
      <c r="H180" s="682">
        <f>H143+H194</f>
        <v>236990</v>
      </c>
      <c r="I180" s="683">
        <f>I143+I194</f>
        <v>351660</v>
      </c>
      <c r="J180" s="143">
        <f t="shared" si="41"/>
        <v>823126.68200000003</v>
      </c>
      <c r="K180" s="144"/>
      <c r="L180" s="682">
        <f>L143+K143</f>
        <v>290553.80200000003</v>
      </c>
      <c r="M180" s="682">
        <f>M143+M194</f>
        <v>7573.3490000000002</v>
      </c>
      <c r="N180" s="682">
        <f>N143+N194</f>
        <v>193477.23199999999</v>
      </c>
      <c r="O180" s="683">
        <f>O143+O194</f>
        <v>331522.299</v>
      </c>
    </row>
    <row r="181" spans="1:15" ht="12.75">
      <c r="B181" s="70" t="s">
        <v>54</v>
      </c>
      <c r="C181" s="71" t="s">
        <v>155</v>
      </c>
      <c r="D181" s="151">
        <f t="shared" si="40"/>
        <v>0</v>
      </c>
      <c r="E181" s="152"/>
      <c r="F181" s="152"/>
      <c r="G181" s="153"/>
      <c r="H181" s="153"/>
      <c r="I181" s="154"/>
      <c r="J181" s="151">
        <f t="shared" si="41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40"/>
        <v>0</v>
      </c>
      <c r="E182" s="158"/>
      <c r="F182" s="159"/>
      <c r="G182" s="159"/>
      <c r="H182" s="159"/>
      <c r="I182" s="160"/>
      <c r="J182" s="157">
        <f t="shared" si="41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40"/>
        <v>0</v>
      </c>
      <c r="E183" s="164"/>
      <c r="F183" s="164"/>
      <c r="G183" s="165"/>
      <c r="H183" s="165"/>
      <c r="I183" s="166"/>
      <c r="J183" s="163">
        <f t="shared" si="41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40"/>
        <v>0</v>
      </c>
      <c r="E184" s="111"/>
      <c r="F184" s="111"/>
      <c r="G184" s="112"/>
      <c r="H184" s="112"/>
      <c r="I184" s="113"/>
      <c r="J184" s="110">
        <f t="shared" si="41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6" spans="1:15">
      <c r="N186" s="321"/>
      <c r="O186" s="321"/>
    </row>
    <row r="187" spans="1:15">
      <c r="N187" s="321"/>
      <c r="O187" s="321"/>
    </row>
    <row r="189" spans="1:15" ht="12.75" customHeight="1">
      <c r="A189" s="832" t="s">
        <v>241</v>
      </c>
      <c r="B189" s="832"/>
      <c r="C189" s="832"/>
      <c r="D189" s="832"/>
      <c r="E189" s="832"/>
      <c r="F189" s="832"/>
      <c r="G189" s="832"/>
      <c r="H189" s="832"/>
      <c r="I189" s="832"/>
      <c r="J189" s="832"/>
      <c r="K189" s="832"/>
      <c r="L189" s="832"/>
      <c r="M189" s="832"/>
      <c r="N189" s="832"/>
      <c r="O189" s="832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</row>
    <row r="191" spans="1:15" ht="12.75">
      <c r="A191" s="171"/>
      <c r="B191" s="171"/>
      <c r="C191" s="171"/>
      <c r="D191" s="171"/>
      <c r="E191" s="171"/>
      <c r="F191" s="171"/>
      <c r="G191" s="171"/>
      <c r="H191" s="171"/>
      <c r="I191" s="171"/>
      <c r="J191" s="239"/>
      <c r="K191" s="171"/>
      <c r="L191" s="171"/>
      <c r="M191" s="171"/>
      <c r="N191" s="171"/>
      <c r="O191" s="171"/>
    </row>
    <row r="192" spans="1:15" ht="12.75">
      <c r="A192" s="460"/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</row>
    <row r="194" spans="1:15">
      <c r="A194" s="483"/>
      <c r="B194" s="484"/>
      <c r="C194" s="483" t="s">
        <v>193</v>
      </c>
      <c r="D194" s="483"/>
      <c r="E194" s="483"/>
      <c r="F194" s="483"/>
      <c r="G194" s="513">
        <f>январь!G194+февраль!G194+март!G194</f>
        <v>1187.5</v>
      </c>
      <c r="H194" s="513">
        <f>январь!H194+февраль!H194+март!H194</f>
        <v>5561.9</v>
      </c>
      <c r="I194" s="513">
        <f>январь!I194+февраль!I194+март!I194</f>
        <v>4667.8999999999996</v>
      </c>
      <c r="J194" s="483"/>
      <c r="K194" s="483"/>
      <c r="L194" s="483"/>
      <c r="M194" s="513">
        <f>январь!M194+февраль!M194+март!M194</f>
        <v>0</v>
      </c>
      <c r="N194" s="513">
        <f>январь!N194+февраль!N194+март!N194</f>
        <v>1671.4289999999999</v>
      </c>
      <c r="O194" s="513">
        <f>январь!O194+февраль!O194+март!O194</f>
        <v>4504.3670000000002</v>
      </c>
    </row>
    <row r="195" spans="1:15">
      <c r="A195" s="511"/>
      <c r="B195" s="512"/>
      <c r="C195" s="511" t="s">
        <v>196</v>
      </c>
      <c r="D195" s="511"/>
      <c r="E195" s="511"/>
      <c r="F195" s="513">
        <f>январь!F195+февраль!F195+март!F195</f>
        <v>40340.049542957873</v>
      </c>
      <c r="G195" s="511"/>
      <c r="H195" s="511"/>
      <c r="I195" s="511"/>
      <c r="J195" s="511"/>
      <c r="K195" s="511"/>
      <c r="L195" s="513">
        <f>январь!L195+февраль!L195+март!L195</f>
        <v>34949.381649999996</v>
      </c>
      <c r="M195" s="511"/>
      <c r="N195" s="511"/>
      <c r="O195" s="511"/>
    </row>
    <row r="197" spans="1:15">
      <c r="N197" s="24"/>
      <c r="O197" s="24"/>
    </row>
    <row r="198" spans="1:15">
      <c r="L198" s="321"/>
      <c r="M198" s="321"/>
      <c r="N198" s="321"/>
      <c r="O198" s="321"/>
    </row>
    <row r="200" spans="1:15">
      <c r="L200" s="321"/>
      <c r="M200" s="321"/>
      <c r="N200" s="321"/>
      <c r="O200" s="321"/>
    </row>
    <row r="201" spans="1:15">
      <c r="G201" s="321"/>
      <c r="H201" s="321"/>
      <c r="I201" s="321"/>
      <c r="M201" s="321"/>
      <c r="N201" s="321"/>
      <c r="O201" s="321"/>
    </row>
  </sheetData>
  <mergeCells count="25"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  <mergeCell ref="A6:A29"/>
    <mergeCell ref="A30:A43"/>
    <mergeCell ref="I4:I5"/>
    <mergeCell ref="J4:J5"/>
    <mergeCell ref="K4:L4"/>
    <mergeCell ref="A189:O189"/>
    <mergeCell ref="D166:I166"/>
    <mergeCell ref="J166:O166"/>
    <mergeCell ref="A46:A150"/>
    <mergeCell ref="A151:A163"/>
    <mergeCell ref="B166:B167"/>
    <mergeCell ref="C166:C167"/>
  </mergeCells>
  <phoneticPr fontId="0" type="noConversion"/>
  <pageMargins left="0.6692913385826772" right="0.27559055118110237" top="0.74803149606299213" bottom="0.55118110236220474" header="0.51181102362204722" footer="0.51181102362204722"/>
  <pageSetup paperSize="9" scale="64" firstPageNumber="0" orientation="landscape" horizontalDpi="300" verticalDpi="300" r:id="rId1"/>
  <headerFooter alignWithMargins="0"/>
  <rowBreaks count="2" manualBreakCount="2">
    <brk id="56" max="14" man="1"/>
    <brk id="11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98"/>
  <sheetViews>
    <sheetView view="pageBreakPreview" zoomScale="90" zoomScaleSheetLayoutView="90" workbookViewId="0">
      <pane xSplit="3" ySplit="5" topLeftCell="D123" activePane="bottomRight" state="frozen"/>
      <selection pane="topRight" activeCell="D1" sqref="D1"/>
      <selection pane="bottomLeft" activeCell="A63" sqref="A63"/>
      <selection pane="bottomRight" activeCell="D45" sqref="D45:O46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.5703125" style="1" customWidth="1"/>
    <col min="6" max="6" width="11.85546875" style="1" customWidth="1"/>
    <col min="7" max="7" width="11.140625" style="1" customWidth="1"/>
    <col min="8" max="8" width="10.5703125" style="1" customWidth="1"/>
    <col min="9" max="10" width="11.85546875" style="1" customWidth="1"/>
    <col min="11" max="11" width="11.140625" style="1" customWidth="1"/>
    <col min="12" max="12" width="11.28515625" style="1" customWidth="1"/>
    <col min="13" max="13" width="10.28515625" style="1" customWidth="1"/>
    <col min="14" max="14" width="11.28515625" style="1" customWidth="1"/>
    <col min="15" max="15" width="11.5703125" style="1" customWidth="1"/>
    <col min="16" max="16" width="16.140625" style="1" customWidth="1"/>
    <col min="17" max="17" width="10" style="1" customWidth="1"/>
    <col min="18" max="16384" width="9.140625" style="1"/>
  </cols>
  <sheetData>
    <row r="1" spans="1:15" ht="15.75">
      <c r="A1" s="817" t="s">
        <v>217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" customHeight="1" thickBot="1">
      <c r="A3" s="856"/>
      <c r="B3" s="857" t="s">
        <v>0</v>
      </c>
      <c r="C3" s="858" t="s">
        <v>1</v>
      </c>
      <c r="D3" s="824" t="s">
        <v>2</v>
      </c>
      <c r="E3" s="825"/>
      <c r="F3" s="825"/>
      <c r="G3" s="825"/>
      <c r="H3" s="825"/>
      <c r="I3" s="826"/>
      <c r="J3" s="827" t="s">
        <v>3</v>
      </c>
      <c r="K3" s="828"/>
      <c r="L3" s="828"/>
      <c r="M3" s="828"/>
      <c r="N3" s="828"/>
      <c r="O3" s="829"/>
    </row>
    <row r="4" spans="1:15" s="3" customFormat="1" ht="12.75" customHeight="1" thickTop="1" thickBot="1">
      <c r="A4" s="856"/>
      <c r="B4" s="857"/>
      <c r="C4" s="858"/>
      <c r="D4" s="830" t="s">
        <v>4</v>
      </c>
      <c r="E4" s="835" t="s">
        <v>5</v>
      </c>
      <c r="F4" s="835"/>
      <c r="G4" s="835" t="s">
        <v>6</v>
      </c>
      <c r="H4" s="835" t="s">
        <v>7</v>
      </c>
      <c r="I4" s="820" t="s">
        <v>8</v>
      </c>
      <c r="J4" s="831" t="s">
        <v>4</v>
      </c>
      <c r="K4" s="833" t="s">
        <v>5</v>
      </c>
      <c r="L4" s="834"/>
      <c r="M4" s="818" t="s">
        <v>6</v>
      </c>
      <c r="N4" s="818" t="s">
        <v>7</v>
      </c>
      <c r="O4" s="820" t="s">
        <v>8</v>
      </c>
    </row>
    <row r="5" spans="1:15" s="6" customFormat="1" ht="13.5" thickTop="1" thickBot="1">
      <c r="A5" s="856"/>
      <c r="B5" s="857"/>
      <c r="C5" s="858"/>
      <c r="D5" s="831"/>
      <c r="E5" s="86">
        <v>220</v>
      </c>
      <c r="F5" s="86">
        <v>110</v>
      </c>
      <c r="G5" s="818"/>
      <c r="H5" s="818"/>
      <c r="I5" s="846"/>
      <c r="J5" s="845"/>
      <c r="K5" s="87">
        <v>220</v>
      </c>
      <c r="L5" s="684">
        <v>110</v>
      </c>
      <c r="M5" s="819"/>
      <c r="N5" s="819"/>
      <c r="O5" s="821"/>
    </row>
    <row r="6" spans="1:15" ht="13.5" thickTop="1" thickBot="1">
      <c r="A6" s="862" t="s">
        <v>9</v>
      </c>
      <c r="B6" s="179" t="s">
        <v>10</v>
      </c>
      <c r="C6" s="179" t="s">
        <v>11</v>
      </c>
      <c r="D6" s="352">
        <f t="shared" ref="D6:I6" si="0">SUM(D7:D9,D12,D14)</f>
        <v>415230</v>
      </c>
      <c r="E6" s="353">
        <f t="shared" si="0"/>
        <v>0</v>
      </c>
      <c r="F6" s="353">
        <f t="shared" si="0"/>
        <v>346250</v>
      </c>
      <c r="G6" s="353">
        <f t="shared" si="0"/>
        <v>44330</v>
      </c>
      <c r="H6" s="353">
        <f t="shared" si="0"/>
        <v>24640</v>
      </c>
      <c r="I6" s="353">
        <f t="shared" si="0"/>
        <v>10</v>
      </c>
      <c r="J6" s="244">
        <f t="shared" ref="J6:O6" si="1">SUM(J7:J9,J12,J14)</f>
        <v>374037.05099999998</v>
      </c>
      <c r="K6" s="245">
        <f t="shared" si="1"/>
        <v>0</v>
      </c>
      <c r="L6" s="245">
        <f t="shared" si="1"/>
        <v>315352.65899999999</v>
      </c>
      <c r="M6" s="245">
        <f t="shared" si="1"/>
        <v>31942.330999999998</v>
      </c>
      <c r="N6" s="245">
        <f t="shared" si="1"/>
        <v>26735.908000000003</v>
      </c>
      <c r="O6" s="245">
        <f t="shared" si="1"/>
        <v>6.1529999999999996</v>
      </c>
    </row>
    <row r="7" spans="1:15" ht="13.5" thickTop="1" thickBot="1">
      <c r="A7" s="862"/>
      <c r="B7" s="182" t="s">
        <v>12</v>
      </c>
      <c r="C7" s="182" t="s">
        <v>13</v>
      </c>
      <c r="D7" s="354">
        <f>SUM(E7:I7)</f>
        <v>0</v>
      </c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247">
        <f>SUM(K7:O7)</f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</row>
    <row r="8" spans="1:15" ht="13.5" thickTop="1" thickBot="1">
      <c r="A8" s="862"/>
      <c r="B8" s="182" t="s">
        <v>14</v>
      </c>
      <c r="C8" s="182" t="s">
        <v>15</v>
      </c>
      <c r="D8" s="354">
        <f>SUM(E8:I8)</f>
        <v>206175</v>
      </c>
      <c r="E8" s="356"/>
      <c r="F8" s="356">
        <v>174435</v>
      </c>
      <c r="G8" s="356">
        <v>10100</v>
      </c>
      <c r="H8" s="356">
        <v>21630</v>
      </c>
      <c r="I8" s="356">
        <v>10</v>
      </c>
      <c r="J8" s="247">
        <f>SUM(K8:O8)</f>
        <v>156086.552</v>
      </c>
      <c r="K8" s="333">
        <v>0</v>
      </c>
      <c r="L8" s="333">
        <v>123431.18700000001</v>
      </c>
      <c r="M8" s="333">
        <v>8576.2039999999997</v>
      </c>
      <c r="N8" s="333">
        <v>24073.008000000002</v>
      </c>
      <c r="O8" s="333">
        <v>6.1529999999999996</v>
      </c>
    </row>
    <row r="9" spans="1:15" ht="13.5" thickTop="1" thickBot="1">
      <c r="A9" s="862"/>
      <c r="B9" s="182" t="s">
        <v>16</v>
      </c>
      <c r="C9" s="182" t="s">
        <v>17</v>
      </c>
      <c r="D9" s="354">
        <f t="shared" ref="D9:I9" si="2">SUM(D10:D11)</f>
        <v>4850</v>
      </c>
      <c r="E9" s="355">
        <f t="shared" si="2"/>
        <v>0</v>
      </c>
      <c r="F9" s="355">
        <f t="shared" si="2"/>
        <v>4850</v>
      </c>
      <c r="G9" s="355">
        <f t="shared" si="2"/>
        <v>0</v>
      </c>
      <c r="H9" s="355">
        <f t="shared" si="2"/>
        <v>0</v>
      </c>
      <c r="I9" s="355">
        <f t="shared" si="2"/>
        <v>0</v>
      </c>
      <c r="J9" s="247">
        <f t="shared" ref="J9:O9" si="3">SUM(J10:J11)</f>
        <v>6929.7709999999997</v>
      </c>
      <c r="K9" s="248">
        <f t="shared" si="3"/>
        <v>0</v>
      </c>
      <c r="L9" s="248">
        <f t="shared" si="3"/>
        <v>6929.7709999999997</v>
      </c>
      <c r="M9" s="248">
        <f t="shared" si="3"/>
        <v>0</v>
      </c>
      <c r="N9" s="248">
        <f t="shared" si="3"/>
        <v>0</v>
      </c>
      <c r="O9" s="248">
        <f t="shared" si="3"/>
        <v>0</v>
      </c>
    </row>
    <row r="10" spans="1:15" ht="13.5" thickTop="1" thickBot="1">
      <c r="A10" s="862"/>
      <c r="B10" s="186" t="s">
        <v>18</v>
      </c>
      <c r="C10" s="187" t="s">
        <v>192</v>
      </c>
      <c r="D10" s="357">
        <f>SUM(F10:I10)</f>
        <v>3600</v>
      </c>
      <c r="E10" s="358"/>
      <c r="F10" s="360">
        <v>3600</v>
      </c>
      <c r="G10" s="358"/>
      <c r="H10" s="358"/>
      <c r="I10" s="358"/>
      <c r="J10" s="251">
        <f>SUM(L10:O10)</f>
        <v>6064.1149999999998</v>
      </c>
      <c r="K10" s="252"/>
      <c r="L10" s="289">
        <v>6064.1149999999998</v>
      </c>
      <c r="M10" s="252"/>
      <c r="N10" s="252"/>
      <c r="O10" s="252"/>
    </row>
    <row r="11" spans="1:15" ht="13.5" thickTop="1" thickBot="1">
      <c r="A11" s="862"/>
      <c r="B11" s="186" t="s">
        <v>19</v>
      </c>
      <c r="C11" s="187" t="s">
        <v>191</v>
      </c>
      <c r="D11" s="357">
        <f>SUM(F11:I11)</f>
        <v>1250</v>
      </c>
      <c r="E11" s="358"/>
      <c r="F11" s="360">
        <v>1250</v>
      </c>
      <c r="G11" s="358"/>
      <c r="H11" s="358"/>
      <c r="I11" s="358"/>
      <c r="J11" s="251">
        <f>SUM(L11:O11)</f>
        <v>865.65599999999995</v>
      </c>
      <c r="K11" s="252"/>
      <c r="L11" s="289">
        <v>865.65599999999995</v>
      </c>
      <c r="M11" s="252"/>
      <c r="N11" s="252"/>
      <c r="O11" s="252"/>
    </row>
    <row r="12" spans="1:15" ht="13.5" thickTop="1" thickBot="1">
      <c r="A12" s="862"/>
      <c r="B12" s="182" t="s">
        <v>20</v>
      </c>
      <c r="C12" s="182" t="s">
        <v>21</v>
      </c>
      <c r="D12" s="354">
        <f>SUM(E12:I12)</f>
        <v>202905</v>
      </c>
      <c r="E12" s="355"/>
      <c r="F12" s="356">
        <v>166965</v>
      </c>
      <c r="G12" s="356">
        <v>32930</v>
      </c>
      <c r="H12" s="356">
        <v>3010</v>
      </c>
      <c r="I12" s="355"/>
      <c r="J12" s="247">
        <f>SUM(K12:O12)</f>
        <v>211020.728</v>
      </c>
      <c r="K12" s="248"/>
      <c r="L12" s="333">
        <v>184991.701</v>
      </c>
      <c r="M12" s="333">
        <v>23366.127</v>
      </c>
      <c r="N12" s="333">
        <v>2662.9</v>
      </c>
      <c r="O12" s="248"/>
    </row>
    <row r="13" spans="1:15" ht="13.5" thickTop="1" thickBot="1">
      <c r="A13" s="862"/>
      <c r="B13" s="186" t="s">
        <v>22</v>
      </c>
      <c r="C13" s="187" t="s">
        <v>23</v>
      </c>
      <c r="D13" s="354">
        <f>SUM(E13:I13)</f>
        <v>0</v>
      </c>
      <c r="E13" s="355"/>
      <c r="F13" s="358"/>
      <c r="G13" s="358"/>
      <c r="H13" s="358"/>
      <c r="I13" s="358"/>
      <c r="J13" s="247">
        <f>SUM(K13:O13)</f>
        <v>0</v>
      </c>
      <c r="K13" s="248"/>
      <c r="L13" s="252"/>
      <c r="M13" s="252"/>
      <c r="N13" s="358"/>
      <c r="O13" s="252"/>
    </row>
    <row r="14" spans="1:15" ht="13.5" thickTop="1" thickBot="1">
      <c r="A14" s="862"/>
      <c r="B14" s="182" t="s">
        <v>24</v>
      </c>
      <c r="C14" s="182" t="s">
        <v>25</v>
      </c>
      <c r="D14" s="354">
        <f>SUM(E14:I14)</f>
        <v>1300</v>
      </c>
      <c r="E14" s="355"/>
      <c r="F14" s="355"/>
      <c r="G14" s="356">
        <v>1300</v>
      </c>
      <c r="H14" s="355"/>
      <c r="I14" s="355"/>
      <c r="J14" s="247">
        <f>SUM(K14:O14)</f>
        <v>0</v>
      </c>
      <c r="K14" s="248"/>
      <c r="L14" s="248"/>
      <c r="M14" s="333">
        <v>0</v>
      </c>
      <c r="N14" s="248"/>
      <c r="O14" s="248"/>
    </row>
    <row r="15" spans="1:15" ht="13.5" thickTop="1" thickBot="1">
      <c r="A15" s="862"/>
      <c r="B15" s="179" t="s">
        <v>26</v>
      </c>
      <c r="C15" s="179" t="s">
        <v>27</v>
      </c>
      <c r="D15" s="352">
        <f t="shared" ref="D15:I15" si="4">SUM(D16:D18,D21)</f>
        <v>117760</v>
      </c>
      <c r="E15" s="359">
        <f t="shared" si="4"/>
        <v>0</v>
      </c>
      <c r="F15" s="359">
        <f t="shared" si="4"/>
        <v>117300</v>
      </c>
      <c r="G15" s="359">
        <f t="shared" si="4"/>
        <v>450</v>
      </c>
      <c r="H15" s="359">
        <f t="shared" si="4"/>
        <v>0</v>
      </c>
      <c r="I15" s="359">
        <f t="shared" si="4"/>
        <v>10</v>
      </c>
      <c r="J15" s="244">
        <f t="shared" ref="J15:O15" si="5">SUM(J16:J18,J21)</f>
        <v>101017.63499999999</v>
      </c>
      <c r="K15" s="253">
        <f t="shared" si="5"/>
        <v>0</v>
      </c>
      <c r="L15" s="253">
        <f t="shared" si="5"/>
        <v>100758.42099999999</v>
      </c>
      <c r="M15" s="253">
        <f t="shared" si="5"/>
        <v>239.74199999999999</v>
      </c>
      <c r="N15" s="253">
        <f t="shared" si="5"/>
        <v>11.307</v>
      </c>
      <c r="O15" s="253">
        <f t="shared" si="5"/>
        <v>8.1649999999999991</v>
      </c>
    </row>
    <row r="16" spans="1:15" ht="13.5" thickTop="1" thickBot="1">
      <c r="A16" s="862"/>
      <c r="B16" s="182" t="s">
        <v>28</v>
      </c>
      <c r="C16" s="182" t="s">
        <v>29</v>
      </c>
      <c r="D16" s="354">
        <f>SUM(E16:I16)</f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247">
        <f>SUM(K16:O16)</f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</row>
    <row r="17" spans="1:15" ht="13.5" thickTop="1" thickBot="1">
      <c r="A17" s="862"/>
      <c r="B17" s="182" t="s">
        <v>30</v>
      </c>
      <c r="C17" s="182" t="s">
        <v>31</v>
      </c>
      <c r="D17" s="354">
        <f>SUM(E17:I17)</f>
        <v>111480</v>
      </c>
      <c r="E17" s="356"/>
      <c r="F17" s="356">
        <v>111470</v>
      </c>
      <c r="G17" s="356">
        <v>0</v>
      </c>
      <c r="H17" s="356">
        <v>0</v>
      </c>
      <c r="I17" s="356">
        <v>10</v>
      </c>
      <c r="J17" s="247">
        <f>SUM(K17:O17)</f>
        <v>95829.052999999985</v>
      </c>
      <c r="K17" s="333">
        <v>0</v>
      </c>
      <c r="L17" s="333">
        <v>95809.56</v>
      </c>
      <c r="M17" s="333">
        <v>2.1000000000000001E-2</v>
      </c>
      <c r="N17" s="333">
        <v>11.307</v>
      </c>
      <c r="O17" s="333">
        <v>8.1649999999999991</v>
      </c>
    </row>
    <row r="18" spans="1:15" ht="13.5" thickTop="1" thickBot="1">
      <c r="A18" s="862"/>
      <c r="B18" s="182" t="s">
        <v>32</v>
      </c>
      <c r="C18" s="182" t="s">
        <v>33</v>
      </c>
      <c r="D18" s="354">
        <f t="shared" ref="D18:I18" si="6">SUM(D19:D20)</f>
        <v>4970</v>
      </c>
      <c r="E18" s="355">
        <f t="shared" si="6"/>
        <v>0</v>
      </c>
      <c r="F18" s="355">
        <f t="shared" si="6"/>
        <v>4800</v>
      </c>
      <c r="G18" s="355">
        <f t="shared" si="6"/>
        <v>170</v>
      </c>
      <c r="H18" s="355">
        <f t="shared" si="6"/>
        <v>0</v>
      </c>
      <c r="I18" s="355">
        <f t="shared" si="6"/>
        <v>0</v>
      </c>
      <c r="J18" s="247">
        <f t="shared" ref="J18:O18" si="7">SUM(J19:J20)</f>
        <v>4682.7660000000005</v>
      </c>
      <c r="K18" s="248">
        <f t="shared" si="7"/>
        <v>0</v>
      </c>
      <c r="L18" s="248">
        <f t="shared" si="7"/>
        <v>4541.9080000000004</v>
      </c>
      <c r="M18" s="248">
        <f t="shared" si="7"/>
        <v>140.858</v>
      </c>
      <c r="N18" s="248">
        <f t="shared" si="7"/>
        <v>0</v>
      </c>
      <c r="O18" s="248">
        <f t="shared" si="7"/>
        <v>0</v>
      </c>
    </row>
    <row r="19" spans="1:15" ht="13.5" thickTop="1" thickBot="1">
      <c r="A19" s="862"/>
      <c r="B19" s="186" t="s">
        <v>34</v>
      </c>
      <c r="C19" s="187" t="s">
        <v>192</v>
      </c>
      <c r="D19" s="357">
        <f t="shared" ref="D19:D29" si="8">SUM(E19:I19)</f>
        <v>1430</v>
      </c>
      <c r="E19" s="358"/>
      <c r="F19" s="360">
        <v>1430</v>
      </c>
      <c r="G19" s="358"/>
      <c r="H19" s="358"/>
      <c r="I19" s="358"/>
      <c r="J19" s="251">
        <f t="shared" ref="J19:J29" si="9">SUM(K19:O19)</f>
        <v>1199.008</v>
      </c>
      <c r="K19" s="252"/>
      <c r="L19" s="289">
        <v>1199.008</v>
      </c>
      <c r="M19" s="252"/>
      <c r="N19" s="252"/>
      <c r="O19" s="252"/>
    </row>
    <row r="20" spans="1:15" ht="13.5" thickTop="1" thickBot="1">
      <c r="A20" s="862"/>
      <c r="B20" s="190" t="s">
        <v>35</v>
      </c>
      <c r="C20" s="187" t="s">
        <v>191</v>
      </c>
      <c r="D20" s="357">
        <f t="shared" si="8"/>
        <v>3540</v>
      </c>
      <c r="E20" s="358"/>
      <c r="F20" s="360">
        <v>3370</v>
      </c>
      <c r="G20" s="360">
        <v>170</v>
      </c>
      <c r="H20" s="358"/>
      <c r="I20" s="358"/>
      <c r="J20" s="251">
        <f t="shared" si="9"/>
        <v>3483.7580000000003</v>
      </c>
      <c r="K20" s="252"/>
      <c r="L20" s="289">
        <v>3342.9</v>
      </c>
      <c r="M20" s="289">
        <v>140.858</v>
      </c>
      <c r="N20" s="252"/>
      <c r="O20" s="252"/>
    </row>
    <row r="21" spans="1:15" ht="13.5" thickTop="1" thickBot="1">
      <c r="A21" s="862"/>
      <c r="B21" s="182" t="s">
        <v>36</v>
      </c>
      <c r="C21" s="182" t="s">
        <v>37</v>
      </c>
      <c r="D21" s="354">
        <f t="shared" si="8"/>
        <v>1310</v>
      </c>
      <c r="E21" s="355"/>
      <c r="F21" s="356">
        <v>1030</v>
      </c>
      <c r="G21" s="356">
        <v>280</v>
      </c>
      <c r="H21" s="355"/>
      <c r="I21" s="355"/>
      <c r="J21" s="247">
        <f t="shared" si="9"/>
        <v>505.81599999999997</v>
      </c>
      <c r="K21" s="248"/>
      <c r="L21" s="333">
        <v>406.95299999999997</v>
      </c>
      <c r="M21" s="333">
        <v>98.863</v>
      </c>
      <c r="N21" s="248"/>
      <c r="O21" s="248"/>
    </row>
    <row r="22" spans="1:15" s="17" customFormat="1" ht="13.5" thickTop="1" thickBot="1">
      <c r="A22" s="862"/>
      <c r="B22" s="232" t="s">
        <v>38</v>
      </c>
      <c r="C22" s="232" t="s">
        <v>39</v>
      </c>
      <c r="D22" s="361">
        <f t="shared" si="8"/>
        <v>297470</v>
      </c>
      <c r="E22" s="361">
        <f>SUM(E23:E25,E28,E29)</f>
        <v>0</v>
      </c>
      <c r="F22" s="361">
        <f>SUM(F23:F25,F28,F29)</f>
        <v>228950</v>
      </c>
      <c r="G22" s="361">
        <f>SUM(G23:G25,G28,G29)</f>
        <v>43880</v>
      </c>
      <c r="H22" s="361">
        <f>SUM(H23:H25,H28,H29)</f>
        <v>24640</v>
      </c>
      <c r="I22" s="361">
        <f>SUM(I23:I25,I28,I29)</f>
        <v>0</v>
      </c>
      <c r="J22" s="256">
        <f t="shared" si="9"/>
        <v>273019.41600000003</v>
      </c>
      <c r="K22" s="256">
        <f>SUM(K23:K25,K28,K29)</f>
        <v>0</v>
      </c>
      <c r="L22" s="256">
        <f>SUM(L23:L25,L28,L29)</f>
        <v>214594.23800000001</v>
      </c>
      <c r="M22" s="256">
        <f>SUM(M23:M25,M28,M29)</f>
        <v>31702.589</v>
      </c>
      <c r="N22" s="256">
        <f>SUM(N23:N25,N28,N29)</f>
        <v>26724.601000000002</v>
      </c>
      <c r="O22" s="256">
        <f>SUM(O23:O25,O28,O29)</f>
        <v>-2.0119999999999996</v>
      </c>
    </row>
    <row r="23" spans="1:15" ht="13.5" thickTop="1" thickBot="1">
      <c r="A23" s="862"/>
      <c r="B23" s="182" t="s">
        <v>40</v>
      </c>
      <c r="C23" s="182" t="s">
        <v>41</v>
      </c>
      <c r="D23" s="354">
        <f t="shared" si="8"/>
        <v>0</v>
      </c>
      <c r="E23" s="354">
        <f t="shared" ref="E23:I28" si="10">E7-E16</f>
        <v>0</v>
      </c>
      <c r="F23" s="354">
        <f t="shared" si="10"/>
        <v>0</v>
      </c>
      <c r="G23" s="354">
        <f t="shared" si="10"/>
        <v>0</v>
      </c>
      <c r="H23" s="354">
        <f t="shared" si="10"/>
        <v>0</v>
      </c>
      <c r="I23" s="354">
        <f t="shared" si="10"/>
        <v>0</v>
      </c>
      <c r="J23" s="247">
        <f t="shared" si="9"/>
        <v>0</v>
      </c>
      <c r="K23" s="247">
        <f t="shared" ref="K23:O28" si="11">K7-K16</f>
        <v>0</v>
      </c>
      <c r="L23" s="247">
        <f t="shared" si="11"/>
        <v>0</v>
      </c>
      <c r="M23" s="247">
        <f t="shared" si="11"/>
        <v>0</v>
      </c>
      <c r="N23" s="247">
        <f t="shared" si="11"/>
        <v>0</v>
      </c>
      <c r="O23" s="247">
        <f t="shared" si="11"/>
        <v>0</v>
      </c>
    </row>
    <row r="24" spans="1:15" ht="13.5" thickTop="1" thickBot="1">
      <c r="A24" s="862"/>
      <c r="B24" s="182" t="s">
        <v>42</v>
      </c>
      <c r="C24" s="182" t="s">
        <v>43</v>
      </c>
      <c r="D24" s="354">
        <f t="shared" si="8"/>
        <v>94695</v>
      </c>
      <c r="E24" s="354">
        <f t="shared" si="10"/>
        <v>0</v>
      </c>
      <c r="F24" s="354">
        <f t="shared" si="10"/>
        <v>62965</v>
      </c>
      <c r="G24" s="354">
        <f t="shared" si="10"/>
        <v>10100</v>
      </c>
      <c r="H24" s="354">
        <f t="shared" si="10"/>
        <v>21630</v>
      </c>
      <c r="I24" s="354">
        <f t="shared" si="10"/>
        <v>0</v>
      </c>
      <c r="J24" s="622">
        <f t="shared" si="9"/>
        <v>60257.499000000003</v>
      </c>
      <c r="K24" s="247">
        <f t="shared" si="11"/>
        <v>0</v>
      </c>
      <c r="L24" s="247">
        <f t="shared" si="11"/>
        <v>27621.627000000008</v>
      </c>
      <c r="M24" s="247">
        <f t="shared" si="11"/>
        <v>8576.1829999999991</v>
      </c>
      <c r="N24" s="247">
        <f t="shared" si="11"/>
        <v>24061.701000000001</v>
      </c>
      <c r="O24" s="247">
        <f t="shared" si="11"/>
        <v>-2.0119999999999996</v>
      </c>
    </row>
    <row r="25" spans="1:15" ht="13.5" thickTop="1" thickBot="1">
      <c r="A25" s="862"/>
      <c r="B25" s="182" t="s">
        <v>44</v>
      </c>
      <c r="C25" s="182" t="s">
        <v>45</v>
      </c>
      <c r="D25" s="354">
        <f t="shared" si="8"/>
        <v>-120</v>
      </c>
      <c r="E25" s="354">
        <f t="shared" si="10"/>
        <v>0</v>
      </c>
      <c r="F25" s="354">
        <f t="shared" si="10"/>
        <v>50</v>
      </c>
      <c r="G25" s="354">
        <f t="shared" si="10"/>
        <v>-170</v>
      </c>
      <c r="H25" s="354">
        <f t="shared" si="10"/>
        <v>0</v>
      </c>
      <c r="I25" s="354">
        <f t="shared" si="10"/>
        <v>0</v>
      </c>
      <c r="J25" s="247">
        <f t="shared" si="9"/>
        <v>2247.0049999999992</v>
      </c>
      <c r="K25" s="247">
        <f t="shared" si="11"/>
        <v>0</v>
      </c>
      <c r="L25" s="247">
        <f t="shared" si="11"/>
        <v>2387.8629999999994</v>
      </c>
      <c r="M25" s="247">
        <f t="shared" si="11"/>
        <v>-140.858</v>
      </c>
      <c r="N25" s="247">
        <f t="shared" si="11"/>
        <v>0</v>
      </c>
      <c r="O25" s="247">
        <f t="shared" si="11"/>
        <v>0</v>
      </c>
    </row>
    <row r="26" spans="1:15" ht="13.5" thickTop="1" thickBot="1">
      <c r="A26" s="862"/>
      <c r="B26" s="186" t="s">
        <v>46</v>
      </c>
      <c r="C26" s="187" t="s">
        <v>192</v>
      </c>
      <c r="D26" s="354">
        <f t="shared" si="8"/>
        <v>2170</v>
      </c>
      <c r="E26" s="357">
        <f t="shared" si="10"/>
        <v>0</v>
      </c>
      <c r="F26" s="357">
        <f t="shared" si="10"/>
        <v>2170</v>
      </c>
      <c r="G26" s="357">
        <f t="shared" si="10"/>
        <v>0</v>
      </c>
      <c r="H26" s="357">
        <f t="shared" si="10"/>
        <v>0</v>
      </c>
      <c r="I26" s="357">
        <f t="shared" si="10"/>
        <v>0</v>
      </c>
      <c r="J26" s="247">
        <f t="shared" si="9"/>
        <v>4865.107</v>
      </c>
      <c r="K26" s="251">
        <f t="shared" si="11"/>
        <v>0</v>
      </c>
      <c r="L26" s="251">
        <f t="shared" si="11"/>
        <v>4865.107</v>
      </c>
      <c r="M26" s="251">
        <f t="shared" si="11"/>
        <v>0</v>
      </c>
      <c r="N26" s="251">
        <f t="shared" si="11"/>
        <v>0</v>
      </c>
      <c r="O26" s="251">
        <f t="shared" si="11"/>
        <v>0</v>
      </c>
    </row>
    <row r="27" spans="1:15" ht="13.5" thickTop="1" thickBot="1">
      <c r="A27" s="862"/>
      <c r="B27" s="186" t="s">
        <v>47</v>
      </c>
      <c r="C27" s="187" t="s">
        <v>191</v>
      </c>
      <c r="D27" s="354">
        <f t="shared" si="8"/>
        <v>-2290</v>
      </c>
      <c r="E27" s="357">
        <f t="shared" si="10"/>
        <v>0</v>
      </c>
      <c r="F27" s="357">
        <f t="shared" si="10"/>
        <v>-2120</v>
      </c>
      <c r="G27" s="357">
        <f t="shared" si="10"/>
        <v>-170</v>
      </c>
      <c r="H27" s="357">
        <f t="shared" si="10"/>
        <v>0</v>
      </c>
      <c r="I27" s="357">
        <f t="shared" si="10"/>
        <v>0</v>
      </c>
      <c r="J27" s="247">
        <f t="shared" si="9"/>
        <v>-2618.1020000000003</v>
      </c>
      <c r="K27" s="251">
        <f t="shared" si="11"/>
        <v>0</v>
      </c>
      <c r="L27" s="251">
        <f t="shared" si="11"/>
        <v>-2477.2440000000001</v>
      </c>
      <c r="M27" s="251">
        <f t="shared" si="11"/>
        <v>-140.858</v>
      </c>
      <c r="N27" s="251">
        <f t="shared" si="11"/>
        <v>0</v>
      </c>
      <c r="O27" s="251">
        <f t="shared" si="11"/>
        <v>0</v>
      </c>
    </row>
    <row r="28" spans="1:15" ht="13.5" thickTop="1" thickBot="1">
      <c r="A28" s="862"/>
      <c r="B28" s="182" t="s">
        <v>48</v>
      </c>
      <c r="C28" s="182" t="s">
        <v>49</v>
      </c>
      <c r="D28" s="354">
        <f t="shared" si="8"/>
        <v>201595</v>
      </c>
      <c r="E28" s="354">
        <f t="shared" si="10"/>
        <v>0</v>
      </c>
      <c r="F28" s="354">
        <f t="shared" si="10"/>
        <v>165935</v>
      </c>
      <c r="G28" s="354">
        <f t="shared" si="10"/>
        <v>32650</v>
      </c>
      <c r="H28" s="354">
        <f t="shared" si="10"/>
        <v>3010</v>
      </c>
      <c r="I28" s="354">
        <f t="shared" si="10"/>
        <v>0</v>
      </c>
      <c r="J28" s="354">
        <f t="shared" si="9"/>
        <v>210514.91199999998</v>
      </c>
      <c r="K28" s="247">
        <f t="shared" si="11"/>
        <v>0</v>
      </c>
      <c r="L28" s="247">
        <f t="shared" si="11"/>
        <v>184584.74799999999</v>
      </c>
      <c r="M28" s="247">
        <f t="shared" si="11"/>
        <v>23267.263999999999</v>
      </c>
      <c r="N28" s="247">
        <f t="shared" si="11"/>
        <v>2662.9</v>
      </c>
      <c r="O28" s="247">
        <f t="shared" si="11"/>
        <v>0</v>
      </c>
    </row>
    <row r="29" spans="1:15" ht="13.5" thickTop="1" thickBot="1">
      <c r="A29" s="862"/>
      <c r="B29" s="182" t="s">
        <v>50</v>
      </c>
      <c r="C29" s="182" t="s">
        <v>25</v>
      </c>
      <c r="D29" s="354">
        <f t="shared" si="8"/>
        <v>1300</v>
      </c>
      <c r="E29" s="354">
        <f>E14</f>
        <v>0</v>
      </c>
      <c r="F29" s="354">
        <f>F14</f>
        <v>0</v>
      </c>
      <c r="G29" s="354">
        <f>G14</f>
        <v>1300</v>
      </c>
      <c r="H29" s="354">
        <f>H14</f>
        <v>0</v>
      </c>
      <c r="I29" s="354">
        <f>I14</f>
        <v>0</v>
      </c>
      <c r="J29" s="247">
        <f t="shared" si="9"/>
        <v>0</v>
      </c>
      <c r="K29" s="247">
        <f>K14</f>
        <v>0</v>
      </c>
      <c r="L29" s="247">
        <f>L14</f>
        <v>0</v>
      </c>
      <c r="M29" s="247">
        <f>M14</f>
        <v>0</v>
      </c>
      <c r="N29" s="247">
        <f>N14</f>
        <v>0</v>
      </c>
      <c r="O29" s="247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362">
        <f>SUM(F30:I30)</f>
        <v>381186</v>
      </c>
      <c r="E30" s="362"/>
      <c r="F30" s="362">
        <f>SUM(F31:F33)</f>
        <v>0</v>
      </c>
      <c r="G30" s="362">
        <f>SUM(G31:G33)</f>
        <v>47436</v>
      </c>
      <c r="H30" s="362">
        <f>SUM(H31:H33)</f>
        <v>196750</v>
      </c>
      <c r="I30" s="362">
        <f>SUM(I31:I33)</f>
        <v>137000</v>
      </c>
      <c r="J30" s="258">
        <f>SUM(L30:O30)</f>
        <v>347735.15700000001</v>
      </c>
      <c r="K30" s="258"/>
      <c r="L30" s="258">
        <f>SUM(L31:L33)</f>
        <v>0</v>
      </c>
      <c r="M30" s="258">
        <f>SUM(M31:M33)</f>
        <v>38836.303</v>
      </c>
      <c r="N30" s="258">
        <f>SUM(N31:N33)</f>
        <v>181692.44699999999</v>
      </c>
      <c r="O30" s="258">
        <f>SUM(O31:O33)</f>
        <v>127206.40699999998</v>
      </c>
    </row>
    <row r="31" spans="1:15" ht="13.5" thickTop="1" thickBot="1">
      <c r="A31" s="862"/>
      <c r="B31" s="182" t="s">
        <v>54</v>
      </c>
      <c r="C31" s="182" t="s">
        <v>55</v>
      </c>
      <c r="D31" s="354">
        <f t="shared" ref="D31:D43" si="12">SUM(E31:I31)</f>
        <v>158120</v>
      </c>
      <c r="E31" s="363"/>
      <c r="F31" s="364"/>
      <c r="G31" s="354">
        <f>F36</f>
        <v>47436</v>
      </c>
      <c r="H31" s="354">
        <f>F37</f>
        <v>110684</v>
      </c>
      <c r="I31" s="363"/>
      <c r="J31" s="247">
        <f t="shared" ref="J31:J43" si="13">SUM(K31:O31)</f>
        <v>155345.21299999999</v>
      </c>
      <c r="K31" s="259"/>
      <c r="L31" s="260"/>
      <c r="M31" s="247">
        <f>L36</f>
        <v>38836.303</v>
      </c>
      <c r="N31" s="247">
        <f>L37</f>
        <v>116508.90999999999</v>
      </c>
      <c r="O31" s="259"/>
    </row>
    <row r="32" spans="1:15" ht="13.5" thickTop="1" thickBot="1">
      <c r="A32" s="862"/>
      <c r="B32" s="182" t="s">
        <v>56</v>
      </c>
      <c r="C32" s="182" t="s">
        <v>57</v>
      </c>
      <c r="D32" s="354">
        <f t="shared" si="12"/>
        <v>86066</v>
      </c>
      <c r="E32" s="363"/>
      <c r="F32" s="363"/>
      <c r="G32" s="363"/>
      <c r="H32" s="354">
        <f>G37</f>
        <v>86066</v>
      </c>
      <c r="I32" s="364">
        <f>G43</f>
        <v>0</v>
      </c>
      <c r="J32" s="247">
        <f t="shared" si="13"/>
        <v>65183.536999999997</v>
      </c>
      <c r="K32" s="259"/>
      <c r="L32" s="259"/>
      <c r="M32" s="259"/>
      <c r="N32" s="247">
        <f>M37</f>
        <v>65183.536999999997</v>
      </c>
      <c r="O32" s="260">
        <f>M43</f>
        <v>0</v>
      </c>
    </row>
    <row r="33" spans="1:15" ht="13.5" thickTop="1" thickBot="1">
      <c r="A33" s="862"/>
      <c r="B33" s="182" t="s">
        <v>58</v>
      </c>
      <c r="C33" s="182" t="s">
        <v>59</v>
      </c>
      <c r="D33" s="354">
        <f t="shared" si="12"/>
        <v>137000</v>
      </c>
      <c r="E33" s="363"/>
      <c r="F33" s="363"/>
      <c r="G33" s="363"/>
      <c r="H33" s="363"/>
      <c r="I33" s="354">
        <f>G38+H38</f>
        <v>137000</v>
      </c>
      <c r="J33" s="247">
        <f t="shared" si="13"/>
        <v>127206.40699999998</v>
      </c>
      <c r="K33" s="259"/>
      <c r="L33" s="259"/>
      <c r="M33" s="259"/>
      <c r="N33" s="259"/>
      <c r="O33" s="247">
        <f>M38+N38</f>
        <v>127206.40699999998</v>
      </c>
    </row>
    <row r="34" spans="1:15" ht="13.5" thickTop="1" thickBot="1">
      <c r="A34" s="862"/>
      <c r="B34" s="179" t="s">
        <v>60</v>
      </c>
      <c r="C34" s="179" t="s">
        <v>61</v>
      </c>
      <c r="D34" s="362">
        <f t="shared" si="12"/>
        <v>381186</v>
      </c>
      <c r="E34" s="362"/>
      <c r="F34" s="362">
        <f>SUM(F35:F38)</f>
        <v>158120</v>
      </c>
      <c r="G34" s="362">
        <f>SUM(G35:G38)</f>
        <v>86066</v>
      </c>
      <c r="H34" s="362">
        <f>SUM(H35:H38)</f>
        <v>137000</v>
      </c>
      <c r="I34" s="285">
        <f>SUM(I35:I38)</f>
        <v>0</v>
      </c>
      <c r="J34" s="258">
        <f t="shared" si="13"/>
        <v>347735.15700000001</v>
      </c>
      <c r="K34" s="258"/>
      <c r="L34" s="258">
        <f>SUM(L35:L38)</f>
        <v>155345.21299999999</v>
      </c>
      <c r="M34" s="258">
        <f>SUM(M35:M38)</f>
        <v>65183.536999999997</v>
      </c>
      <c r="N34" s="258">
        <f>SUM(N35:N38)</f>
        <v>127206.40699999998</v>
      </c>
      <c r="O34" s="261">
        <f>SUM(O35:O38)</f>
        <v>0</v>
      </c>
    </row>
    <row r="35" spans="1:15" ht="13.5" thickTop="1" thickBot="1">
      <c r="A35" s="862"/>
      <c r="B35" s="182" t="s">
        <v>62</v>
      </c>
      <c r="C35" s="182" t="s">
        <v>63</v>
      </c>
      <c r="D35" s="354">
        <f t="shared" si="12"/>
        <v>0</v>
      </c>
      <c r="E35" s="364"/>
      <c r="F35" s="363"/>
      <c r="G35" s="363"/>
      <c r="H35" s="363"/>
      <c r="I35" s="363"/>
      <c r="J35" s="247">
        <f t="shared" si="13"/>
        <v>0</v>
      </c>
      <c r="K35" s="260"/>
      <c r="L35" s="259"/>
      <c r="M35" s="259"/>
      <c r="N35" s="259"/>
      <c r="O35" s="259"/>
    </row>
    <row r="36" spans="1:15" ht="13.5" thickTop="1" thickBot="1">
      <c r="A36" s="862"/>
      <c r="B36" s="182" t="s">
        <v>64</v>
      </c>
      <c r="C36" s="182" t="s">
        <v>65</v>
      </c>
      <c r="D36" s="354">
        <f t="shared" si="12"/>
        <v>47436</v>
      </c>
      <c r="E36" s="354"/>
      <c r="F36" s="333">
        <v>47436</v>
      </c>
      <c r="G36" s="259"/>
      <c r="H36" s="259"/>
      <c r="I36" s="363"/>
      <c r="J36" s="247">
        <f t="shared" si="13"/>
        <v>38836.303</v>
      </c>
      <c r="K36" s="247"/>
      <c r="L36" s="333">
        <v>38836.303</v>
      </c>
      <c r="M36" s="259"/>
      <c r="N36" s="259"/>
      <c r="O36" s="259"/>
    </row>
    <row r="37" spans="1:15" ht="13.5" thickTop="1" thickBot="1">
      <c r="A37" s="862"/>
      <c r="B37" s="182" t="s">
        <v>66</v>
      </c>
      <c r="C37" s="182" t="s">
        <v>67</v>
      </c>
      <c r="D37" s="354">
        <f t="shared" si="12"/>
        <v>196750</v>
      </c>
      <c r="E37" s="354"/>
      <c r="F37" s="333">
        <v>110684</v>
      </c>
      <c r="G37" s="333">
        <v>86066</v>
      </c>
      <c r="H37" s="259"/>
      <c r="I37" s="363"/>
      <c r="J37" s="247">
        <f t="shared" si="13"/>
        <v>181692.44699999999</v>
      </c>
      <c r="K37" s="247"/>
      <c r="L37" s="333">
        <v>116508.90999999999</v>
      </c>
      <c r="M37" s="333">
        <v>65183.536999999997</v>
      </c>
      <c r="N37" s="259"/>
      <c r="O37" s="259"/>
    </row>
    <row r="38" spans="1:15" ht="13.5" thickTop="1" thickBot="1">
      <c r="A38" s="862"/>
      <c r="B38" s="182" t="s">
        <v>68</v>
      </c>
      <c r="C38" s="182" t="s">
        <v>69</v>
      </c>
      <c r="D38" s="354">
        <f t="shared" si="12"/>
        <v>137000</v>
      </c>
      <c r="E38" s="363"/>
      <c r="F38" s="259"/>
      <c r="G38" s="260"/>
      <c r="H38" s="333">
        <v>137000</v>
      </c>
      <c r="I38" s="363"/>
      <c r="J38" s="247">
        <f t="shared" si="13"/>
        <v>127206.40699999998</v>
      </c>
      <c r="K38" s="259"/>
      <c r="L38" s="259"/>
      <c r="M38" s="260"/>
      <c r="N38" s="333">
        <v>127206.40699999998</v>
      </c>
      <c r="O38" s="259"/>
    </row>
    <row r="39" spans="1:15" s="17" customFormat="1" ht="13.5" thickTop="1" thickBot="1">
      <c r="A39" s="862"/>
      <c r="B39" s="232" t="s">
        <v>70</v>
      </c>
      <c r="C39" s="232" t="s">
        <v>71</v>
      </c>
      <c r="D39" s="365">
        <f t="shared" si="12"/>
        <v>0</v>
      </c>
      <c r="E39" s="365"/>
      <c r="F39" s="365">
        <f>SUM(F40:F43)</f>
        <v>-158120</v>
      </c>
      <c r="G39" s="365">
        <f>SUM(G40:G43)</f>
        <v>-38630</v>
      </c>
      <c r="H39" s="365">
        <f>SUM(H40:H43)</f>
        <v>59750</v>
      </c>
      <c r="I39" s="365">
        <f>SUM(I40:I43)</f>
        <v>137000</v>
      </c>
      <c r="J39" s="262">
        <f t="shared" si="13"/>
        <v>0</v>
      </c>
      <c r="K39" s="262"/>
      <c r="L39" s="262">
        <f>SUM(L40:L43)</f>
        <v>-155345.21299999999</v>
      </c>
      <c r="M39" s="262">
        <f>SUM(M40:M43)</f>
        <v>-26347.233999999997</v>
      </c>
      <c r="N39" s="262">
        <f>SUM(N40:N43)</f>
        <v>54486.040000000008</v>
      </c>
      <c r="O39" s="262">
        <f>SUM(O40:O43)</f>
        <v>127206.40699999998</v>
      </c>
    </row>
    <row r="40" spans="1:15" ht="13.5" thickTop="1" thickBot="1">
      <c r="A40" s="862"/>
      <c r="B40" s="182" t="s">
        <v>72</v>
      </c>
      <c r="C40" s="182" t="s">
        <v>5</v>
      </c>
      <c r="D40" s="366">
        <f t="shared" si="12"/>
        <v>158120</v>
      </c>
      <c r="E40" s="367"/>
      <c r="F40" s="367">
        <f>F31-F35</f>
        <v>0</v>
      </c>
      <c r="G40" s="367">
        <f>G31-G35</f>
        <v>47436</v>
      </c>
      <c r="H40" s="367">
        <f>H31-H35</f>
        <v>110684</v>
      </c>
      <c r="I40" s="368"/>
      <c r="J40" s="264">
        <f t="shared" si="13"/>
        <v>155345.21299999999</v>
      </c>
      <c r="K40" s="265"/>
      <c r="L40" s="265">
        <f>L31-L35</f>
        <v>0</v>
      </c>
      <c r="M40" s="265">
        <f>M31-M35</f>
        <v>38836.303</v>
      </c>
      <c r="N40" s="265">
        <f>N31-N35</f>
        <v>116508.90999999999</v>
      </c>
      <c r="O40" s="266"/>
    </row>
    <row r="41" spans="1:15" ht="13.5" thickTop="1" thickBot="1">
      <c r="A41" s="862"/>
      <c r="B41" s="182" t="s">
        <v>73</v>
      </c>
      <c r="C41" s="182" t="s">
        <v>74</v>
      </c>
      <c r="D41" s="366">
        <f t="shared" si="12"/>
        <v>38630</v>
      </c>
      <c r="E41" s="367">
        <f>E32-E36</f>
        <v>0</v>
      </c>
      <c r="F41" s="367">
        <f>F32-F36</f>
        <v>-47436</v>
      </c>
      <c r="G41" s="368"/>
      <c r="H41" s="367">
        <f>H32-H36</f>
        <v>86066</v>
      </c>
      <c r="I41" s="368"/>
      <c r="J41" s="264">
        <f t="shared" si="13"/>
        <v>26347.233999999997</v>
      </c>
      <c r="K41" s="265">
        <f>K32-K36</f>
        <v>0</v>
      </c>
      <c r="L41" s="265">
        <f>L32-L36</f>
        <v>-38836.303</v>
      </c>
      <c r="M41" s="266"/>
      <c r="N41" s="265">
        <f>N32-N36</f>
        <v>65183.536999999997</v>
      </c>
      <c r="O41" s="266"/>
    </row>
    <row r="42" spans="1:15" ht="13.5" thickTop="1" thickBot="1">
      <c r="A42" s="862"/>
      <c r="B42" s="182" t="s">
        <v>75</v>
      </c>
      <c r="C42" s="182" t="s">
        <v>76</v>
      </c>
      <c r="D42" s="366">
        <f t="shared" si="12"/>
        <v>-59750</v>
      </c>
      <c r="E42" s="367">
        <f>E33-E37</f>
        <v>0</v>
      </c>
      <c r="F42" s="367">
        <f>F33-F37</f>
        <v>-110684</v>
      </c>
      <c r="G42" s="367">
        <f>G33-G37</f>
        <v>-86066</v>
      </c>
      <c r="H42" s="368"/>
      <c r="I42" s="367">
        <f>I33-I37</f>
        <v>137000</v>
      </c>
      <c r="J42" s="264">
        <f t="shared" si="13"/>
        <v>-54486.040000000008</v>
      </c>
      <c r="K42" s="265">
        <f>K33-K37</f>
        <v>0</v>
      </c>
      <c r="L42" s="265">
        <f>L33-L37</f>
        <v>-116508.90999999999</v>
      </c>
      <c r="M42" s="265">
        <f>M33-M37</f>
        <v>-65183.536999999997</v>
      </c>
      <c r="N42" s="266"/>
      <c r="O42" s="265">
        <f>O33-O37</f>
        <v>127206.40699999998</v>
      </c>
    </row>
    <row r="43" spans="1:15" ht="13.5" thickTop="1" thickBot="1">
      <c r="A43" s="862"/>
      <c r="B43" s="199" t="s">
        <v>77</v>
      </c>
      <c r="C43" s="199" t="s">
        <v>8</v>
      </c>
      <c r="D43" s="367">
        <f t="shared" si="12"/>
        <v>-137000</v>
      </c>
      <c r="E43" s="368"/>
      <c r="F43" s="368"/>
      <c r="G43" s="367"/>
      <c r="H43" s="367">
        <f>-H38</f>
        <v>-137000</v>
      </c>
      <c r="I43" s="368"/>
      <c r="J43" s="265">
        <f t="shared" si="13"/>
        <v>-127206.40699999998</v>
      </c>
      <c r="K43" s="266"/>
      <c r="L43" s="266"/>
      <c r="M43" s="265"/>
      <c r="N43" s="265">
        <f>-N38</f>
        <v>-127206.40699999998</v>
      </c>
      <c r="O43" s="266"/>
    </row>
    <row r="44" spans="1:15" ht="13.5" thickTop="1" thickBot="1">
      <c r="A44" s="177"/>
      <c r="B44" s="200" t="s">
        <v>78</v>
      </c>
      <c r="C44" s="200" t="s">
        <v>79</v>
      </c>
      <c r="D44" s="201">
        <f>D22</f>
        <v>297470</v>
      </c>
      <c r="E44" s="201">
        <f>E22+E30</f>
        <v>0</v>
      </c>
      <c r="F44" s="201">
        <f>F22+F30</f>
        <v>228950</v>
      </c>
      <c r="G44" s="201">
        <f>G22+G30</f>
        <v>91316</v>
      </c>
      <c r="H44" s="201">
        <f>H22+H30</f>
        <v>221390</v>
      </c>
      <c r="I44" s="201">
        <f>I22+I30</f>
        <v>137000</v>
      </c>
      <c r="J44" s="201">
        <f>J22</f>
        <v>273019.41600000003</v>
      </c>
      <c r="K44" s="201">
        <f>K22+K30</f>
        <v>0</v>
      </c>
      <c r="L44" s="201">
        <f>L22+L30</f>
        <v>214594.23800000001</v>
      </c>
      <c r="M44" s="201">
        <f>M22+M30</f>
        <v>70538.891999999993</v>
      </c>
      <c r="N44" s="201">
        <f>N22+N30</f>
        <v>208417.04799999998</v>
      </c>
      <c r="O44" s="201">
        <f>O22+O30</f>
        <v>127204.39499999997</v>
      </c>
    </row>
    <row r="45" spans="1:15" ht="13.5" thickTop="1" thickBot="1">
      <c r="A45" s="177"/>
      <c r="B45" s="202" t="s">
        <v>80</v>
      </c>
      <c r="C45" s="202" t="s">
        <v>81</v>
      </c>
      <c r="D45" s="203">
        <f>D44</f>
        <v>297470</v>
      </c>
      <c r="E45" s="203">
        <f>E143+E151+E34</f>
        <v>0</v>
      </c>
      <c r="F45" s="203">
        <f>F143+F151+F34-G49-H49-G73-H73-G78-H78-H54-H97-H109-G97-G102-H102-G109-G114-H114-G121-H121-G126-H126-G133-H133</f>
        <v>228950</v>
      </c>
      <c r="G45" s="203">
        <f>G143+G151+G34-H50-I50-H55-I55-H62-I62-H67-I67-H98-H74-H79-H86-H91-H103-H110-H115-H122-H127-H134</f>
        <v>89342.399999999994</v>
      </c>
      <c r="H45" s="203">
        <f>H143+H151+H34-I51-I56-I63-I68-I75-I80-I87-I92-I99-I104-I111-I116-I123-I128</f>
        <v>201902</v>
      </c>
      <c r="I45" s="203">
        <f>I151+I143</f>
        <v>136188.20000000001</v>
      </c>
      <c r="J45" s="203">
        <f>J44</f>
        <v>273019.41600000003</v>
      </c>
      <c r="K45" s="203">
        <f>K143+K151+K34</f>
        <v>0</v>
      </c>
      <c r="L45" s="203">
        <f>L143+L151+L34-M49-N49-M73-N73-M78-N78-N54-N97-N109-M97-M102-N102-M109-M114-N114-M121-N121-M126-N126-M133-N133</f>
        <v>214594.23800000001</v>
      </c>
      <c r="M45" s="203">
        <f>M143+M151+M34-N50-O50-N55-O55-N62-O62-N67-O67-N98-N74-N79-N86-N91-N103-N110-N115-N122-N127-N134</f>
        <v>68076.381999999983</v>
      </c>
      <c r="N45" s="203">
        <f>N143+N151+N34-O51-O56-O63-O68-O75-O80-O87-O92-O99-O104-O111-O116-O123-O128</f>
        <v>187847.04299999998</v>
      </c>
      <c r="O45" s="203">
        <f>O151+O143</f>
        <v>125697.27599999998</v>
      </c>
    </row>
    <row r="46" spans="1:15" ht="13.5" thickTop="1" thickBot="1">
      <c r="A46" s="862" t="s">
        <v>82</v>
      </c>
      <c r="B46" s="179" t="s">
        <v>83</v>
      </c>
      <c r="C46" s="179" t="s">
        <v>84</v>
      </c>
      <c r="D46" s="181">
        <f>SUM(E46:I46)</f>
        <v>256370</v>
      </c>
      <c r="E46" s="322">
        <f>E47+E59+E71+E83+E95</f>
        <v>0</v>
      </c>
      <c r="F46" s="322">
        <f>F47+F59+F71+F83+F95+F107+F119+F131</f>
        <v>64270</v>
      </c>
      <c r="G46" s="322">
        <f>G47+G59+G71+G83+G95+G107+G119+G131</f>
        <v>2680</v>
      </c>
      <c r="H46" s="322">
        <f>H47+H59+H71+H83+H95+H107+H119+H131</f>
        <v>73970</v>
      </c>
      <c r="I46" s="322">
        <f>I47+I59+I71+I83+I95+I107+I119+I131</f>
        <v>115450</v>
      </c>
      <c r="J46" s="181">
        <f>SUM(K46:O46)</f>
        <v>197133.92499999999</v>
      </c>
      <c r="K46" s="322">
        <f>K47+K59+K71+K83+K95</f>
        <v>0</v>
      </c>
      <c r="L46" s="322">
        <f>L47+L59+L71+L83+L95+L107+L119+L131</f>
        <v>52744.063999999998</v>
      </c>
      <c r="M46" s="322">
        <f>M47+M59+M71+M83+M95+M107+M119+M131</f>
        <v>3129.9740000000002</v>
      </c>
      <c r="N46" s="322">
        <f>N47+N59+N71+N83+N95+N107+N119+N131</f>
        <v>71282.017000000007</v>
      </c>
      <c r="O46" s="322">
        <f>O47+O59+O71+O83+O95+O107+O119+O131</f>
        <v>69977.87</v>
      </c>
    </row>
    <row r="47" spans="1:15" s="3" customFormat="1" ht="13.5" thickTop="1" thickBot="1">
      <c r="A47" s="862"/>
      <c r="B47" s="270" t="s">
        <v>85</v>
      </c>
      <c r="C47" s="271" t="s">
        <v>86</v>
      </c>
      <c r="D47" s="369">
        <f t="shared" ref="D47:D94" si="14">SUM(E47:I47)</f>
        <v>183980</v>
      </c>
      <c r="E47" s="370"/>
      <c r="F47" s="478">
        <f>13140-H49-H54</f>
        <v>1040</v>
      </c>
      <c r="G47" s="478">
        <f>2090-H50</f>
        <v>890</v>
      </c>
      <c r="H47" s="479">
        <f>53790+H49+H50+H54</f>
        <v>67090</v>
      </c>
      <c r="I47" s="478">
        <v>114960</v>
      </c>
      <c r="J47" s="590">
        <f t="shared" ref="J47:J94" si="15">SUM(K47:O47)</f>
        <v>138098.73800000001</v>
      </c>
      <c r="K47" s="273"/>
      <c r="L47" s="273">
        <f>18539.974-N49-N54</f>
        <v>3042.6619999999975</v>
      </c>
      <c r="M47" s="273">
        <f>1012.779-N50</f>
        <v>667.46400000000006</v>
      </c>
      <c r="N47" s="273">
        <f>48260.701+N49+N54+219.601+622.821+N50</f>
        <v>64945.750000000007</v>
      </c>
      <c r="O47" s="273">
        <f>48420.062+1397.103+220.291+19405.406</f>
        <v>69442.861999999994</v>
      </c>
    </row>
    <row r="48" spans="1:15" ht="13.5" thickTop="1" thickBot="1">
      <c r="A48" s="862"/>
      <c r="B48" s="263" t="s">
        <v>87</v>
      </c>
      <c r="C48" s="263" t="s">
        <v>88</v>
      </c>
      <c r="D48" s="367">
        <f t="shared" si="14"/>
        <v>0</v>
      </c>
      <c r="E48" s="367"/>
      <c r="F48" s="367"/>
      <c r="G48" s="367"/>
      <c r="H48" s="367"/>
      <c r="I48" s="367"/>
      <c r="J48" s="265">
        <f t="shared" si="15"/>
        <v>0</v>
      </c>
      <c r="K48" s="265"/>
      <c r="L48" s="265"/>
      <c r="M48" s="265"/>
      <c r="N48" s="265"/>
      <c r="O48" s="265"/>
    </row>
    <row r="49" spans="1:15" ht="13.5" thickTop="1" thickBot="1">
      <c r="A49" s="862"/>
      <c r="B49" s="275"/>
      <c r="C49" s="276" t="s">
        <v>89</v>
      </c>
      <c r="D49" s="371">
        <f t="shared" si="14"/>
        <v>11100</v>
      </c>
      <c r="E49" s="372"/>
      <c r="F49" s="372"/>
      <c r="G49" s="371"/>
      <c r="H49" s="373">
        <v>11100</v>
      </c>
      <c r="I49" s="372"/>
      <c r="J49" s="277">
        <f t="shared" si="15"/>
        <v>9977.7250000000004</v>
      </c>
      <c r="K49" s="278"/>
      <c r="L49" s="278"/>
      <c r="M49" s="277"/>
      <c r="N49" s="461">
        <v>9977.7250000000004</v>
      </c>
      <c r="O49" s="278"/>
    </row>
    <row r="50" spans="1:15" ht="13.5" thickTop="1" thickBot="1">
      <c r="A50" s="862"/>
      <c r="B50" s="275"/>
      <c r="C50" s="276" t="s">
        <v>90</v>
      </c>
      <c r="D50" s="371">
        <f t="shared" si="14"/>
        <v>1200</v>
      </c>
      <c r="E50" s="372"/>
      <c r="F50" s="372"/>
      <c r="G50" s="372"/>
      <c r="H50" s="371">
        <v>1200</v>
      </c>
      <c r="I50" s="371"/>
      <c r="J50" s="277">
        <f t="shared" si="15"/>
        <v>345.31499999999994</v>
      </c>
      <c r="K50" s="278"/>
      <c r="L50" s="278"/>
      <c r="M50" s="278"/>
      <c r="N50" s="526">
        <v>345.31499999999994</v>
      </c>
      <c r="O50" s="277"/>
    </row>
    <row r="51" spans="1:15" ht="13.5" thickTop="1" thickBot="1">
      <c r="A51" s="862"/>
      <c r="B51" s="275"/>
      <c r="C51" s="276" t="s">
        <v>91</v>
      </c>
      <c r="D51" s="371">
        <f t="shared" si="14"/>
        <v>0</v>
      </c>
      <c r="E51" s="372"/>
      <c r="F51" s="372"/>
      <c r="G51" s="372"/>
      <c r="H51" s="372"/>
      <c r="I51" s="371"/>
      <c r="J51" s="277">
        <f t="shared" si="15"/>
        <v>0</v>
      </c>
      <c r="K51" s="278"/>
      <c r="L51" s="278"/>
      <c r="M51" s="278"/>
      <c r="N51" s="278"/>
      <c r="O51" s="277"/>
    </row>
    <row r="52" spans="1:15" ht="13.5" thickTop="1" thickBot="1">
      <c r="A52" s="862"/>
      <c r="B52" s="263" t="s">
        <v>92</v>
      </c>
      <c r="C52" s="263" t="s">
        <v>93</v>
      </c>
      <c r="D52" s="367">
        <f t="shared" si="14"/>
        <v>0</v>
      </c>
      <c r="E52" s="367"/>
      <c r="F52" s="384"/>
      <c r="G52" s="384"/>
      <c r="H52" s="384"/>
      <c r="I52" s="384"/>
      <c r="J52" s="265">
        <f t="shared" si="15"/>
        <v>0</v>
      </c>
      <c r="K52" s="279"/>
      <c r="L52" s="385"/>
      <c r="M52" s="688"/>
      <c r="N52" s="689"/>
      <c r="O52" s="340"/>
    </row>
    <row r="53" spans="1:15" ht="13.5" thickTop="1" thickBot="1">
      <c r="A53" s="862"/>
      <c r="B53" s="263" t="s">
        <v>94</v>
      </c>
      <c r="C53" s="263" t="s">
        <v>95</v>
      </c>
      <c r="D53" s="374">
        <f t="shared" si="14"/>
        <v>16370</v>
      </c>
      <c r="E53" s="376"/>
      <c r="F53" s="376"/>
      <c r="G53" s="375">
        <v>602</v>
      </c>
      <c r="H53" s="375">
        <f>804+14964</f>
        <v>15768</v>
      </c>
      <c r="I53" s="367"/>
      <c r="J53" s="464">
        <f t="shared" si="15"/>
        <v>14561.696</v>
      </c>
      <c r="K53" s="238"/>
      <c r="L53" s="238"/>
      <c r="M53" s="281">
        <v>667.46400000000006</v>
      </c>
      <c r="N53" s="281">
        <v>13888.079</v>
      </c>
      <c r="O53" s="281">
        <v>6.1529999999999996</v>
      </c>
    </row>
    <row r="54" spans="1:15" ht="13.5" thickTop="1" thickBot="1">
      <c r="A54" s="862"/>
      <c r="B54" s="275"/>
      <c r="C54" s="276" t="s">
        <v>89</v>
      </c>
      <c r="D54" s="371">
        <f t="shared" si="14"/>
        <v>1000</v>
      </c>
      <c r="E54" s="377"/>
      <c r="F54" s="377"/>
      <c r="G54" s="376"/>
      <c r="H54" s="376">
        <v>1000</v>
      </c>
      <c r="I54" s="372"/>
      <c r="J54" s="277">
        <f t="shared" si="15"/>
        <v>5519.5870000000004</v>
      </c>
      <c r="K54" s="282"/>
      <c r="L54" s="282"/>
      <c r="M54" s="238"/>
      <c r="N54" s="461">
        <v>5519.5870000000004</v>
      </c>
      <c r="O54" s="278"/>
    </row>
    <row r="55" spans="1:15" ht="13.5" thickTop="1" thickBot="1">
      <c r="A55" s="862"/>
      <c r="B55" s="275"/>
      <c r="C55" s="276" t="s">
        <v>90</v>
      </c>
      <c r="D55" s="371">
        <f t="shared" si="14"/>
        <v>0</v>
      </c>
      <c r="E55" s="372"/>
      <c r="F55" s="372"/>
      <c r="G55" s="372"/>
      <c r="H55" s="371"/>
      <c r="I55" s="371"/>
      <c r="J55" s="277">
        <f t="shared" si="15"/>
        <v>0</v>
      </c>
      <c r="K55" s="278"/>
      <c r="L55" s="278"/>
      <c r="M55" s="278"/>
      <c r="N55" s="277"/>
      <c r="O55" s="277"/>
    </row>
    <row r="56" spans="1:15" ht="13.5" thickTop="1" thickBot="1">
      <c r="A56" s="862"/>
      <c r="B56" s="275"/>
      <c r="C56" s="276" t="s">
        <v>91</v>
      </c>
      <c r="D56" s="371">
        <f t="shared" si="14"/>
        <v>0</v>
      </c>
      <c r="E56" s="372"/>
      <c r="F56" s="372"/>
      <c r="G56" s="372"/>
      <c r="H56" s="372"/>
      <c r="I56" s="371"/>
      <c r="J56" s="277">
        <f t="shared" si="15"/>
        <v>0</v>
      </c>
      <c r="K56" s="278"/>
      <c r="L56" s="278"/>
      <c r="M56" s="278"/>
      <c r="N56" s="278"/>
      <c r="O56" s="277"/>
    </row>
    <row r="57" spans="1:15" ht="13.5" thickTop="1" thickBot="1">
      <c r="A57" s="862"/>
      <c r="B57" s="263" t="s">
        <v>96</v>
      </c>
      <c r="C57" s="263" t="s">
        <v>97</v>
      </c>
      <c r="D57" s="367">
        <f t="shared" si="14"/>
        <v>407</v>
      </c>
      <c r="E57" s="367"/>
      <c r="F57" s="367"/>
      <c r="G57" s="367"/>
      <c r="H57" s="329">
        <v>407</v>
      </c>
      <c r="I57" s="367"/>
      <c r="J57" s="265">
        <f t="shared" si="15"/>
        <v>349.63062000000002</v>
      </c>
      <c r="K57" s="265"/>
      <c r="L57" s="265"/>
      <c r="M57" s="265"/>
      <c r="N57" s="340">
        <v>349.63062000000002</v>
      </c>
      <c r="O57" s="265"/>
    </row>
    <row r="58" spans="1:15" ht="13.5" thickTop="1" thickBot="1">
      <c r="A58" s="862"/>
      <c r="B58" s="263" t="s">
        <v>98</v>
      </c>
      <c r="C58" s="263" t="s">
        <v>99</v>
      </c>
      <c r="D58" s="367">
        <f t="shared" si="14"/>
        <v>0</v>
      </c>
      <c r="E58" s="367"/>
      <c r="F58" s="367"/>
      <c r="G58" s="367"/>
      <c r="H58" s="323"/>
      <c r="I58" s="367"/>
      <c r="J58" s="265">
        <f t="shared" si="15"/>
        <v>0</v>
      </c>
      <c r="K58" s="265"/>
      <c r="L58" s="265"/>
      <c r="M58" s="265"/>
      <c r="N58" s="283"/>
      <c r="O58" s="265"/>
    </row>
    <row r="59" spans="1:15" ht="13.5" thickTop="1" thickBot="1">
      <c r="A59" s="862"/>
      <c r="B59" s="204" t="s">
        <v>171</v>
      </c>
      <c r="C59" s="205" t="s">
        <v>190</v>
      </c>
      <c r="D59" s="325">
        <f t="shared" si="14"/>
        <v>2430</v>
      </c>
      <c r="E59" s="339"/>
      <c r="F59" s="339">
        <v>1620</v>
      </c>
      <c r="G59" s="284"/>
      <c r="H59" s="339">
        <v>320</v>
      </c>
      <c r="I59" s="339">
        <v>490</v>
      </c>
      <c r="J59" s="206">
        <f t="shared" si="15"/>
        <v>2186.58</v>
      </c>
      <c r="K59" s="339"/>
      <c r="L59" s="350">
        <v>1194.096</v>
      </c>
      <c r="M59" s="214"/>
      <c r="N59" s="350">
        <f>158.84+278.522+20.114</f>
        <v>457.47599999999994</v>
      </c>
      <c r="O59" s="350">
        <f>110.016+424.992</f>
        <v>535.00800000000004</v>
      </c>
    </row>
    <row r="60" spans="1:15" ht="13.5" thickTop="1" thickBot="1">
      <c r="A60" s="862"/>
      <c r="B60" s="182" t="s">
        <v>172</v>
      </c>
      <c r="C60" s="182" t="s">
        <v>88</v>
      </c>
      <c r="D60" s="324">
        <f t="shared" si="14"/>
        <v>0</v>
      </c>
      <c r="E60" s="324"/>
      <c r="F60" s="324"/>
      <c r="G60" s="324"/>
      <c r="H60" s="324"/>
      <c r="I60" s="324"/>
      <c r="J60" s="196">
        <f t="shared" si="15"/>
        <v>0</v>
      </c>
      <c r="K60" s="196"/>
      <c r="L60" s="196"/>
      <c r="M60" s="196"/>
      <c r="N60" s="196"/>
      <c r="O60" s="196"/>
    </row>
    <row r="61" spans="1:15" ht="13.5" thickTop="1" thickBot="1">
      <c r="A61" s="862"/>
      <c r="B61" s="207"/>
      <c r="C61" s="208" t="s">
        <v>89</v>
      </c>
      <c r="D61" s="326">
        <f t="shared" si="14"/>
        <v>0</v>
      </c>
      <c r="E61" s="327"/>
      <c r="F61" s="327"/>
      <c r="G61" s="326"/>
      <c r="H61" s="326"/>
      <c r="I61" s="327"/>
      <c r="J61" s="209">
        <f t="shared" si="15"/>
        <v>0</v>
      </c>
      <c r="K61" s="210"/>
      <c r="L61" s="210"/>
      <c r="M61" s="381"/>
      <c r="N61" s="381"/>
      <c r="O61" s="210"/>
    </row>
    <row r="62" spans="1:15" ht="13.5" thickTop="1" thickBot="1">
      <c r="A62" s="862"/>
      <c r="B62" s="207"/>
      <c r="C62" s="208" t="s">
        <v>90</v>
      </c>
      <c r="D62" s="326">
        <f t="shared" si="14"/>
        <v>0</v>
      </c>
      <c r="E62" s="327"/>
      <c r="F62" s="327"/>
      <c r="G62" s="327"/>
      <c r="H62" s="326"/>
      <c r="I62" s="326"/>
      <c r="J62" s="209">
        <f t="shared" si="15"/>
        <v>0</v>
      </c>
      <c r="K62" s="210"/>
      <c r="L62" s="210"/>
      <c r="M62" s="382"/>
      <c r="N62" s="381"/>
      <c r="O62" s="209"/>
    </row>
    <row r="63" spans="1:15" ht="13.5" thickTop="1" thickBot="1">
      <c r="A63" s="862"/>
      <c r="B63" s="207"/>
      <c r="C63" s="208" t="s">
        <v>91</v>
      </c>
      <c r="D63" s="326">
        <f t="shared" si="14"/>
        <v>0</v>
      </c>
      <c r="E63" s="327"/>
      <c r="F63" s="327"/>
      <c r="G63" s="327"/>
      <c r="H63" s="327"/>
      <c r="I63" s="326"/>
      <c r="J63" s="209">
        <f t="shared" si="15"/>
        <v>0</v>
      </c>
      <c r="K63" s="210"/>
      <c r="L63" s="210"/>
      <c r="M63" s="210"/>
      <c r="N63" s="210"/>
      <c r="O63" s="209"/>
    </row>
    <row r="64" spans="1:15" ht="13.5" thickTop="1" thickBot="1">
      <c r="A64" s="862"/>
      <c r="B64" s="182" t="s">
        <v>173</v>
      </c>
      <c r="C64" s="182" t="s">
        <v>93</v>
      </c>
      <c r="D64" s="324">
        <f t="shared" si="14"/>
        <v>0</v>
      </c>
      <c r="E64" s="184"/>
      <c r="F64" s="432"/>
      <c r="G64" s="328"/>
      <c r="H64" s="328"/>
      <c r="I64" s="324"/>
      <c r="J64" s="196">
        <f t="shared" si="15"/>
        <v>0</v>
      </c>
      <c r="K64" s="462"/>
      <c r="L64" s="462"/>
      <c r="M64" s="211"/>
      <c r="N64" s="211"/>
      <c r="O64" s="196"/>
    </row>
    <row r="65" spans="1:15" ht="13.5" thickTop="1" thickBot="1">
      <c r="A65" s="862"/>
      <c r="B65" s="182" t="s">
        <v>174</v>
      </c>
      <c r="C65" s="182" t="s">
        <v>95</v>
      </c>
      <c r="D65" s="330">
        <f t="shared" si="14"/>
        <v>0</v>
      </c>
      <c r="E65" s="378"/>
      <c r="F65" s="326"/>
      <c r="G65" s="326"/>
      <c r="H65" s="326"/>
      <c r="I65" s="324"/>
      <c r="J65" s="213">
        <f t="shared" si="15"/>
        <v>0</v>
      </c>
      <c r="K65" s="319"/>
      <c r="L65" s="209"/>
      <c r="M65" s="209"/>
      <c r="N65" s="209"/>
      <c r="O65" s="196"/>
    </row>
    <row r="66" spans="1:15" ht="13.5" thickTop="1" thickBot="1">
      <c r="A66" s="862"/>
      <c r="B66" s="207"/>
      <c r="C66" s="208" t="s">
        <v>89</v>
      </c>
      <c r="D66" s="326">
        <f t="shared" si="14"/>
        <v>0</v>
      </c>
      <c r="E66" s="327"/>
      <c r="F66" s="327"/>
      <c r="G66" s="326"/>
      <c r="H66" s="326"/>
      <c r="I66" s="327"/>
      <c r="J66" s="209">
        <f t="shared" si="15"/>
        <v>0</v>
      </c>
      <c r="K66" s="210"/>
      <c r="L66" s="210"/>
      <c r="M66" s="209"/>
      <c r="N66" s="209"/>
      <c r="O66" s="210"/>
    </row>
    <row r="67" spans="1:15" ht="13.5" thickTop="1" thickBot="1">
      <c r="A67" s="862"/>
      <c r="B67" s="207"/>
      <c r="C67" s="208" t="s">
        <v>90</v>
      </c>
      <c r="D67" s="326">
        <f t="shared" si="14"/>
        <v>0</v>
      </c>
      <c r="E67" s="327"/>
      <c r="F67" s="327"/>
      <c r="G67" s="327"/>
      <c r="H67" s="326"/>
      <c r="I67" s="326"/>
      <c r="J67" s="209">
        <f t="shared" si="15"/>
        <v>0</v>
      </c>
      <c r="K67" s="210"/>
      <c r="L67" s="210"/>
      <c r="M67" s="210"/>
      <c r="N67" s="209"/>
      <c r="O67" s="209"/>
    </row>
    <row r="68" spans="1:15" ht="13.5" thickTop="1" thickBot="1">
      <c r="A68" s="862"/>
      <c r="B68" s="207"/>
      <c r="C68" s="208" t="s">
        <v>91</v>
      </c>
      <c r="D68" s="326">
        <f t="shared" si="14"/>
        <v>0</v>
      </c>
      <c r="E68" s="327"/>
      <c r="F68" s="327"/>
      <c r="G68" s="327"/>
      <c r="H68" s="327"/>
      <c r="I68" s="326"/>
      <c r="J68" s="209">
        <f t="shared" si="15"/>
        <v>0</v>
      </c>
      <c r="K68" s="210"/>
      <c r="L68" s="210"/>
      <c r="M68" s="210"/>
      <c r="N68" s="210"/>
      <c r="O68" s="209"/>
    </row>
    <row r="69" spans="1:15" ht="13.5" thickTop="1" thickBot="1">
      <c r="A69" s="862"/>
      <c r="B69" s="182" t="s">
        <v>176</v>
      </c>
      <c r="C69" s="182" t="s">
        <v>97</v>
      </c>
      <c r="D69" s="324">
        <f t="shared" si="14"/>
        <v>0</v>
      </c>
      <c r="E69" s="324"/>
      <c r="F69" s="324"/>
      <c r="G69" s="324"/>
      <c r="H69" s="323"/>
      <c r="I69" s="324"/>
      <c r="J69" s="196">
        <f t="shared" si="15"/>
        <v>0</v>
      </c>
      <c r="K69" s="196"/>
      <c r="L69" s="196"/>
      <c r="M69" s="196"/>
      <c r="N69" s="185"/>
      <c r="O69" s="196"/>
    </row>
    <row r="70" spans="1:15" ht="13.5" thickTop="1" thickBot="1">
      <c r="A70" s="862"/>
      <c r="B70" s="182" t="s">
        <v>175</v>
      </c>
      <c r="C70" s="182" t="s">
        <v>99</v>
      </c>
      <c r="D70" s="324">
        <f t="shared" si="14"/>
        <v>0</v>
      </c>
      <c r="E70" s="324"/>
      <c r="F70" s="324"/>
      <c r="G70" s="324"/>
      <c r="H70" s="323"/>
      <c r="I70" s="324"/>
      <c r="J70" s="196">
        <f t="shared" si="15"/>
        <v>0</v>
      </c>
      <c r="K70" s="196"/>
      <c r="L70" s="196"/>
      <c r="M70" s="196"/>
      <c r="N70" s="185"/>
      <c r="O70" s="196"/>
    </row>
    <row r="71" spans="1:15" ht="13.5" thickTop="1" thickBot="1">
      <c r="A71" s="862"/>
      <c r="B71" s="204" t="s">
        <v>177</v>
      </c>
      <c r="C71" s="205" t="s">
        <v>203</v>
      </c>
      <c r="D71" s="325">
        <f t="shared" si="14"/>
        <v>3490</v>
      </c>
      <c r="E71" s="284"/>
      <c r="F71" s="284"/>
      <c r="G71" s="339">
        <v>1790</v>
      </c>
      <c r="H71" s="339">
        <v>1700</v>
      </c>
      <c r="I71" s="284"/>
      <c r="J71" s="206">
        <f t="shared" si="15"/>
        <v>4248.8649999999998</v>
      </c>
      <c r="K71" s="284"/>
      <c r="L71" s="284"/>
      <c r="M71" s="350">
        <v>2462.5100000000002</v>
      </c>
      <c r="N71" s="350">
        <v>1786.355</v>
      </c>
      <c r="O71" s="214"/>
    </row>
    <row r="72" spans="1:15" ht="13.5" thickTop="1" thickBot="1">
      <c r="A72" s="862"/>
      <c r="B72" s="182" t="s">
        <v>178</v>
      </c>
      <c r="C72" s="182" t="s">
        <v>88</v>
      </c>
      <c r="D72" s="324">
        <f t="shared" si="14"/>
        <v>0</v>
      </c>
      <c r="E72" s="324"/>
      <c r="F72" s="324"/>
      <c r="G72" s="324"/>
      <c r="H72" s="324"/>
      <c r="I72" s="324"/>
      <c r="J72" s="196">
        <f t="shared" si="15"/>
        <v>0</v>
      </c>
      <c r="K72" s="196"/>
      <c r="L72" s="196"/>
      <c r="M72" s="265"/>
      <c r="N72" s="265"/>
      <c r="O72" s="196"/>
    </row>
    <row r="73" spans="1:15" ht="13.5" thickTop="1" thickBot="1">
      <c r="A73" s="862"/>
      <c r="B73" s="207"/>
      <c r="C73" s="208" t="s">
        <v>89</v>
      </c>
      <c r="D73" s="326">
        <f t="shared" si="14"/>
        <v>1627</v>
      </c>
      <c r="E73" s="327"/>
      <c r="F73" s="327"/>
      <c r="G73" s="602">
        <f>G71-G78</f>
        <v>415</v>
      </c>
      <c r="H73" s="602">
        <f>H71-H78</f>
        <v>1212</v>
      </c>
      <c r="I73" s="327"/>
      <c r="J73" s="209">
        <f t="shared" si="15"/>
        <v>1503.7940000000003</v>
      </c>
      <c r="K73" s="210"/>
      <c r="L73" s="210"/>
      <c r="M73" s="602">
        <f>M71-M78</f>
        <v>257.05500000000029</v>
      </c>
      <c r="N73" s="602">
        <f>N71-N78</f>
        <v>1246.739</v>
      </c>
      <c r="O73" s="210"/>
    </row>
    <row r="74" spans="1:15" ht="13.5" thickTop="1" thickBot="1">
      <c r="A74" s="862"/>
      <c r="B74" s="207"/>
      <c r="C74" s="208" t="s">
        <v>90</v>
      </c>
      <c r="D74" s="326">
        <f t="shared" si="14"/>
        <v>0</v>
      </c>
      <c r="E74" s="327"/>
      <c r="F74" s="327"/>
      <c r="G74" s="630"/>
      <c r="H74" s="631"/>
      <c r="I74" s="326"/>
      <c r="J74" s="209">
        <f t="shared" si="15"/>
        <v>0</v>
      </c>
      <c r="K74" s="210"/>
      <c r="L74" s="210"/>
      <c r="M74" s="210"/>
      <c r="N74" s="320"/>
      <c r="O74" s="209"/>
    </row>
    <row r="75" spans="1:15" ht="13.5" thickTop="1" thickBot="1">
      <c r="A75" s="862"/>
      <c r="B75" s="207"/>
      <c r="C75" s="208" t="s">
        <v>91</v>
      </c>
      <c r="D75" s="326">
        <f t="shared" si="14"/>
        <v>0</v>
      </c>
      <c r="E75" s="327"/>
      <c r="F75" s="327"/>
      <c r="G75" s="630"/>
      <c r="H75" s="630"/>
      <c r="I75" s="326"/>
      <c r="J75" s="209">
        <f t="shared" si="15"/>
        <v>0</v>
      </c>
      <c r="K75" s="210"/>
      <c r="L75" s="210"/>
      <c r="M75" s="210"/>
      <c r="N75" s="210"/>
      <c r="O75" s="209"/>
    </row>
    <row r="76" spans="1:15" ht="13.5" thickTop="1" thickBot="1">
      <c r="A76" s="862"/>
      <c r="B76" s="182" t="s">
        <v>179</v>
      </c>
      <c r="C76" s="182" t="s">
        <v>93</v>
      </c>
      <c r="D76" s="324">
        <f t="shared" si="14"/>
        <v>0</v>
      </c>
      <c r="E76" s="324"/>
      <c r="F76" s="324"/>
      <c r="G76" s="632"/>
      <c r="H76" s="632"/>
      <c r="I76" s="324"/>
      <c r="J76" s="196">
        <f t="shared" si="15"/>
        <v>0</v>
      </c>
      <c r="K76" s="196"/>
      <c r="L76" s="196"/>
      <c r="M76" s="211"/>
      <c r="N76" s="211"/>
      <c r="O76" s="196"/>
    </row>
    <row r="77" spans="1:15" ht="13.5" thickTop="1" thickBot="1">
      <c r="A77" s="862"/>
      <c r="B77" s="182" t="s">
        <v>180</v>
      </c>
      <c r="C77" s="182" t="s">
        <v>95</v>
      </c>
      <c r="D77" s="330">
        <f t="shared" si="14"/>
        <v>0</v>
      </c>
      <c r="E77" s="380"/>
      <c r="F77" s="326"/>
      <c r="G77" s="602"/>
      <c r="H77" s="602"/>
      <c r="I77" s="324"/>
      <c r="J77" s="213">
        <f t="shared" si="15"/>
        <v>0</v>
      </c>
      <c r="K77" s="383"/>
      <c r="L77" s="209"/>
      <c r="M77" s="320"/>
      <c r="N77" s="320"/>
      <c r="O77" s="196"/>
    </row>
    <row r="78" spans="1:15" ht="13.5" thickTop="1" thickBot="1">
      <c r="A78" s="862"/>
      <c r="B78" s="207"/>
      <c r="C78" s="208" t="s">
        <v>89</v>
      </c>
      <c r="D78" s="326">
        <f t="shared" si="14"/>
        <v>1863</v>
      </c>
      <c r="E78" s="327"/>
      <c r="F78" s="327"/>
      <c r="G78" s="602">
        <f>1353+22</f>
        <v>1375</v>
      </c>
      <c r="H78" s="602">
        <v>488</v>
      </c>
      <c r="I78" s="327"/>
      <c r="J78" s="209">
        <f t="shared" si="15"/>
        <v>2745.0709999999999</v>
      </c>
      <c r="K78" s="210"/>
      <c r="L78" s="210"/>
      <c r="M78" s="320">
        <v>2205.4549999999999</v>
      </c>
      <c r="N78" s="320">
        <v>539.61599999999999</v>
      </c>
      <c r="O78" s="210"/>
    </row>
    <row r="79" spans="1:15" ht="13.5" thickTop="1" thickBot="1">
      <c r="A79" s="862"/>
      <c r="B79" s="207"/>
      <c r="C79" s="208" t="s">
        <v>90</v>
      </c>
      <c r="D79" s="326">
        <f t="shared" si="14"/>
        <v>0</v>
      </c>
      <c r="E79" s="327"/>
      <c r="F79" s="327"/>
      <c r="G79" s="327"/>
      <c r="H79" s="326"/>
      <c r="I79" s="326"/>
      <c r="J79" s="209">
        <f t="shared" si="15"/>
        <v>0</v>
      </c>
      <c r="K79" s="210"/>
      <c r="L79" s="210"/>
      <c r="M79" s="210"/>
      <c r="N79" s="209"/>
      <c r="O79" s="209"/>
    </row>
    <row r="80" spans="1:15" ht="13.5" thickTop="1" thickBot="1">
      <c r="A80" s="862"/>
      <c r="B80" s="207"/>
      <c r="C80" s="208" t="s">
        <v>91</v>
      </c>
      <c r="D80" s="326">
        <f t="shared" si="14"/>
        <v>0</v>
      </c>
      <c r="E80" s="327"/>
      <c r="F80" s="327"/>
      <c r="G80" s="327"/>
      <c r="H80" s="327"/>
      <c r="I80" s="326"/>
      <c r="J80" s="209">
        <f t="shared" si="15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324">
        <f t="shared" si="14"/>
        <v>0</v>
      </c>
      <c r="E81" s="324"/>
      <c r="F81" s="324"/>
      <c r="G81" s="324"/>
      <c r="H81" s="323"/>
      <c r="I81" s="324"/>
      <c r="J81" s="196">
        <f t="shared" si="15"/>
        <v>0</v>
      </c>
      <c r="K81" s="196"/>
      <c r="L81" s="196"/>
      <c r="M81" s="196"/>
      <c r="N81" s="185"/>
      <c r="O81" s="196"/>
    </row>
    <row r="82" spans="1:15" ht="13.5" thickTop="1" thickBot="1">
      <c r="A82" s="862"/>
      <c r="B82" s="182" t="s">
        <v>182</v>
      </c>
      <c r="C82" s="182" t="s">
        <v>99</v>
      </c>
      <c r="D82" s="324">
        <f t="shared" si="14"/>
        <v>0</v>
      </c>
      <c r="E82" s="324"/>
      <c r="F82" s="324"/>
      <c r="G82" s="324"/>
      <c r="H82" s="323"/>
      <c r="I82" s="324"/>
      <c r="J82" s="196">
        <f t="shared" si="15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325">
        <f t="shared" si="14"/>
        <v>61610</v>
      </c>
      <c r="E83" s="284"/>
      <c r="F83" s="339">
        <v>61610</v>
      </c>
      <c r="G83" s="284"/>
      <c r="H83" s="284"/>
      <c r="I83" s="284"/>
      <c r="J83" s="206">
        <f t="shared" si="15"/>
        <v>48507.305999999997</v>
      </c>
      <c r="K83" s="284"/>
      <c r="L83" s="339">
        <v>48507.305999999997</v>
      </c>
      <c r="M83" s="214"/>
      <c r="N83" s="214"/>
      <c r="O83" s="214"/>
    </row>
    <row r="84" spans="1:15" ht="13.5" thickTop="1" thickBot="1">
      <c r="A84" s="862"/>
      <c r="B84" s="182" t="s">
        <v>184</v>
      </c>
      <c r="C84" s="182" t="s">
        <v>88</v>
      </c>
      <c r="D84" s="324">
        <f t="shared" si="14"/>
        <v>0</v>
      </c>
      <c r="E84" s="324"/>
      <c r="F84" s="324"/>
      <c r="G84" s="324"/>
      <c r="H84" s="324"/>
      <c r="I84" s="324"/>
      <c r="J84" s="196">
        <f t="shared" si="15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326">
        <f t="shared" si="14"/>
        <v>0</v>
      </c>
      <c r="E85" s="327"/>
      <c r="F85" s="327"/>
      <c r="G85" s="326"/>
      <c r="H85" s="326"/>
      <c r="I85" s="327"/>
      <c r="J85" s="209">
        <f t="shared" si="15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326">
        <f t="shared" si="14"/>
        <v>0</v>
      </c>
      <c r="E86" s="327"/>
      <c r="F86" s="327"/>
      <c r="G86" s="327"/>
      <c r="H86" s="326"/>
      <c r="I86" s="326"/>
      <c r="J86" s="209">
        <f t="shared" si="15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326">
        <f t="shared" si="14"/>
        <v>0</v>
      </c>
      <c r="E87" s="327"/>
      <c r="F87" s="327"/>
      <c r="G87" s="327"/>
      <c r="H87" s="327"/>
      <c r="I87" s="326"/>
      <c r="J87" s="209">
        <f t="shared" si="15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324">
        <f t="shared" si="14"/>
        <v>0</v>
      </c>
      <c r="E88" s="324"/>
      <c r="F88" s="324"/>
      <c r="G88" s="328"/>
      <c r="H88" s="328"/>
      <c r="I88" s="324"/>
      <c r="J88" s="196">
        <f t="shared" si="15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330">
        <f t="shared" si="14"/>
        <v>29936</v>
      </c>
      <c r="E89" s="380"/>
      <c r="F89" s="331">
        <v>29936</v>
      </c>
      <c r="G89" s="326"/>
      <c r="H89" s="326"/>
      <c r="I89" s="324"/>
      <c r="J89" s="213">
        <f t="shared" si="15"/>
        <v>13418.900000000001</v>
      </c>
      <c r="K89" s="383"/>
      <c r="L89" s="320">
        <v>13418.900000000001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326">
        <f t="shared" si="14"/>
        <v>0</v>
      </c>
      <c r="E90" s="327"/>
      <c r="F90" s="327"/>
      <c r="G90" s="326"/>
      <c r="H90" s="326"/>
      <c r="I90" s="327"/>
      <c r="J90" s="209">
        <f t="shared" si="15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326">
        <f t="shared" si="14"/>
        <v>0</v>
      </c>
      <c r="E91" s="327"/>
      <c r="F91" s="327"/>
      <c r="G91" s="327"/>
      <c r="H91" s="326"/>
      <c r="I91" s="326"/>
      <c r="J91" s="209">
        <f t="shared" si="15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326">
        <f t="shared" si="14"/>
        <v>0</v>
      </c>
      <c r="E92" s="327"/>
      <c r="F92" s="327"/>
      <c r="G92" s="327"/>
      <c r="H92" s="327"/>
      <c r="I92" s="326"/>
      <c r="J92" s="209">
        <f t="shared" si="15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324">
        <f t="shared" si="14"/>
        <v>0</v>
      </c>
      <c r="E93" s="324"/>
      <c r="F93" s="324"/>
      <c r="G93" s="324"/>
      <c r="H93" s="323"/>
      <c r="I93" s="324"/>
      <c r="J93" s="196">
        <f t="shared" si="15"/>
        <v>0</v>
      </c>
      <c r="K93" s="196"/>
      <c r="L93" s="196"/>
      <c r="M93" s="196"/>
      <c r="N93" s="185"/>
      <c r="O93" s="196"/>
    </row>
    <row r="94" spans="1:15" ht="13.5" thickTop="1" thickBot="1">
      <c r="A94" s="862"/>
      <c r="B94" s="182" t="s">
        <v>188</v>
      </c>
      <c r="C94" s="182" t="s">
        <v>99</v>
      </c>
      <c r="D94" s="324">
        <f t="shared" si="14"/>
        <v>0</v>
      </c>
      <c r="E94" s="324"/>
      <c r="F94" s="324"/>
      <c r="G94" s="324"/>
      <c r="H94" s="323"/>
      <c r="I94" s="324"/>
      <c r="J94" s="196">
        <f t="shared" si="15"/>
        <v>0</v>
      </c>
      <c r="K94" s="196"/>
      <c r="L94" s="196"/>
      <c r="M94" s="196"/>
      <c r="N94" s="196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>
        <f t="shared" ref="D95:D106" si="16">SUM(E95:I95)</f>
        <v>4860</v>
      </c>
      <c r="E95" s="284"/>
      <c r="F95" s="325"/>
      <c r="G95" s="284"/>
      <c r="H95" s="339">
        <v>4860</v>
      </c>
      <c r="I95" s="284"/>
      <c r="J95" s="206">
        <f t="shared" ref="J95:J106" si="17">SUM(K95:O95)</f>
        <v>3277.6190000000001</v>
      </c>
      <c r="K95" s="284"/>
      <c r="L95" s="325"/>
      <c r="M95" s="214"/>
      <c r="N95" s="339">
        <v>3277.6190000000001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6"/>
        <v>0</v>
      </c>
      <c r="E96" s="324"/>
      <c r="F96" s="324"/>
      <c r="G96" s="324"/>
      <c r="H96" s="324"/>
      <c r="I96" s="324"/>
      <c r="J96" s="196">
        <f t="shared" si="17"/>
        <v>0</v>
      </c>
      <c r="K96" s="196"/>
      <c r="L96" s="196"/>
      <c r="M96" s="196"/>
      <c r="N96" s="196"/>
      <c r="O96" s="196"/>
    </row>
    <row r="97" spans="1:15" ht="13.5" thickTop="1" thickBot="1">
      <c r="A97" s="862"/>
      <c r="B97" s="207"/>
      <c r="C97" s="208" t="s">
        <v>89</v>
      </c>
      <c r="D97" s="326">
        <f t="shared" si="16"/>
        <v>1530</v>
      </c>
      <c r="E97" s="327"/>
      <c r="F97" s="327"/>
      <c r="G97" s="326"/>
      <c r="H97" s="339">
        <v>1530</v>
      </c>
      <c r="I97" s="327"/>
      <c r="J97" s="209">
        <f t="shared" si="17"/>
        <v>1152.4939999999999</v>
      </c>
      <c r="K97" s="210"/>
      <c r="L97" s="210"/>
      <c r="M97" s="209"/>
      <c r="N97" s="699">
        <v>1152.4939999999999</v>
      </c>
      <c r="O97" s="210"/>
    </row>
    <row r="98" spans="1:15" ht="13.5" thickTop="1" thickBot="1">
      <c r="A98" s="862"/>
      <c r="B98" s="207"/>
      <c r="C98" s="208" t="s">
        <v>90</v>
      </c>
      <c r="D98" s="326">
        <f t="shared" si="16"/>
        <v>1980</v>
      </c>
      <c r="E98" s="327"/>
      <c r="F98" s="327"/>
      <c r="G98" s="327"/>
      <c r="H98" s="339">
        <v>1980</v>
      </c>
      <c r="I98" s="326"/>
      <c r="J98" s="209">
        <f t="shared" si="17"/>
        <v>724.87900000000002</v>
      </c>
      <c r="K98" s="210"/>
      <c r="L98" s="210"/>
      <c r="M98" s="210"/>
      <c r="N98" s="699">
        <v>724.87900000000002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6"/>
        <v>0</v>
      </c>
      <c r="E99" s="327"/>
      <c r="F99" s="327"/>
      <c r="G99" s="327"/>
      <c r="H99" s="327"/>
      <c r="I99" s="326"/>
      <c r="J99" s="209">
        <f t="shared" si="17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6"/>
        <v>0</v>
      </c>
      <c r="E100" s="324"/>
      <c r="F100" s="324"/>
      <c r="G100" s="328"/>
      <c r="H100" s="328"/>
      <c r="I100" s="324"/>
      <c r="J100" s="196">
        <f t="shared" si="17"/>
        <v>0</v>
      </c>
      <c r="K100" s="196"/>
      <c r="L100" s="196"/>
      <c r="M100" s="211"/>
      <c r="N100" s="383"/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6"/>
        <v>0</v>
      </c>
      <c r="E101" s="380"/>
      <c r="F101" s="383"/>
      <c r="G101" s="326"/>
      <c r="H101" s="326"/>
      <c r="I101" s="324"/>
      <c r="J101" s="213">
        <f t="shared" si="17"/>
        <v>0</v>
      </c>
      <c r="K101" s="383"/>
      <c r="L101" s="383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6"/>
        <v>0</v>
      </c>
      <c r="E102" s="327"/>
      <c r="F102" s="327"/>
      <c r="G102" s="326"/>
      <c r="H102" s="326"/>
      <c r="I102" s="327"/>
      <c r="J102" s="209">
        <f t="shared" si="17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6"/>
        <v>0</v>
      </c>
      <c r="E103" s="327"/>
      <c r="F103" s="327"/>
      <c r="G103" s="327"/>
      <c r="H103" s="326"/>
      <c r="I103" s="326"/>
      <c r="J103" s="209">
        <f t="shared" si="17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6"/>
        <v>0</v>
      </c>
      <c r="E104" s="327"/>
      <c r="F104" s="327"/>
      <c r="G104" s="327"/>
      <c r="H104" s="327"/>
      <c r="I104" s="326"/>
      <c r="J104" s="209">
        <f t="shared" si="17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6"/>
        <v>0</v>
      </c>
      <c r="E105" s="324"/>
      <c r="F105" s="324"/>
      <c r="G105" s="324"/>
      <c r="H105" s="324"/>
      <c r="I105" s="324"/>
      <c r="J105" s="196">
        <f t="shared" si="17"/>
        <v>0</v>
      </c>
      <c r="K105" s="196"/>
      <c r="L105" s="196"/>
      <c r="M105" s="196"/>
      <c r="N105" s="185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6"/>
        <v>0</v>
      </c>
      <c r="E106" s="324"/>
      <c r="F106" s="324"/>
      <c r="G106" s="324"/>
      <c r="H106" s="323"/>
      <c r="I106" s="324"/>
      <c r="J106" s="196">
        <f t="shared" si="17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>
        <f t="shared" ref="D107:D118" si="18">SUM(E107:I107)</f>
        <v>0</v>
      </c>
      <c r="E107" s="284"/>
      <c r="F107" s="325"/>
      <c r="G107" s="284"/>
      <c r="H107" s="339"/>
      <c r="I107" s="284"/>
      <c r="J107" s="206">
        <f t="shared" ref="J107:J118" si="19">SUM(K107:O107)</f>
        <v>499.23899999999998</v>
      </c>
      <c r="K107" s="284"/>
      <c r="L107" s="325"/>
      <c r="M107" s="214"/>
      <c r="N107" s="339">
        <v>499.23899999999998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8"/>
        <v>0</v>
      </c>
      <c r="E108" s="324"/>
      <c r="F108" s="324"/>
      <c r="G108" s="324"/>
      <c r="H108" s="324"/>
      <c r="I108" s="324"/>
      <c r="J108" s="196">
        <f t="shared" si="19"/>
        <v>0</v>
      </c>
      <c r="K108" s="196"/>
      <c r="L108" s="196"/>
      <c r="M108" s="196"/>
      <c r="N108" s="196"/>
      <c r="O108" s="196"/>
    </row>
    <row r="109" spans="1:15" ht="13.5" thickTop="1" thickBot="1">
      <c r="A109" s="862"/>
      <c r="B109" s="207"/>
      <c r="C109" s="208" t="s">
        <v>89</v>
      </c>
      <c r="D109" s="326">
        <f t="shared" si="18"/>
        <v>0</v>
      </c>
      <c r="E109" s="327"/>
      <c r="F109" s="327"/>
      <c r="G109" s="326"/>
      <c r="H109" s="339"/>
      <c r="I109" s="327"/>
      <c r="J109" s="209">
        <f t="shared" si="19"/>
        <v>499.23899999999998</v>
      </c>
      <c r="K109" s="210"/>
      <c r="L109" s="210"/>
      <c r="M109" s="209"/>
      <c r="N109" s="339">
        <v>499.23899999999998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8"/>
        <v>0</v>
      </c>
      <c r="E110" s="327"/>
      <c r="F110" s="327"/>
      <c r="G110" s="327"/>
      <c r="H110" s="383"/>
      <c r="I110" s="326"/>
      <c r="J110" s="209">
        <f t="shared" si="19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8"/>
        <v>0</v>
      </c>
      <c r="E111" s="327"/>
      <c r="F111" s="327"/>
      <c r="G111" s="327"/>
      <c r="H111" s="327"/>
      <c r="I111" s="326"/>
      <c r="J111" s="209">
        <f t="shared" si="19"/>
        <v>0</v>
      </c>
      <c r="K111" s="210"/>
      <c r="L111" s="210"/>
      <c r="M111" s="210"/>
      <c r="N111" s="210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8"/>
        <v>0</v>
      </c>
      <c r="E112" s="324"/>
      <c r="F112" s="324"/>
      <c r="G112" s="328"/>
      <c r="H112" s="328"/>
      <c r="I112" s="324"/>
      <c r="J112" s="196">
        <f t="shared" si="19"/>
        <v>0</v>
      </c>
      <c r="K112" s="196"/>
      <c r="L112" s="196"/>
      <c r="M112" s="211"/>
      <c r="N112" s="211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8"/>
        <v>0</v>
      </c>
      <c r="E113" s="380"/>
      <c r="F113" s="383"/>
      <c r="G113" s="326"/>
      <c r="H113" s="326"/>
      <c r="I113" s="324"/>
      <c r="J113" s="213">
        <f t="shared" si="19"/>
        <v>0</v>
      </c>
      <c r="K113" s="383"/>
      <c r="L113" s="383"/>
      <c r="M113" s="209"/>
      <c r="N113" s="209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8"/>
        <v>0</v>
      </c>
      <c r="E114" s="327"/>
      <c r="F114" s="327"/>
      <c r="G114" s="326"/>
      <c r="H114" s="326"/>
      <c r="I114" s="327"/>
      <c r="J114" s="209">
        <f t="shared" si="19"/>
        <v>0</v>
      </c>
      <c r="K114" s="210"/>
      <c r="L114" s="210"/>
      <c r="M114" s="209"/>
      <c r="N114" s="209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8"/>
        <v>0</v>
      </c>
      <c r="E115" s="327"/>
      <c r="F115" s="327"/>
      <c r="G115" s="327"/>
      <c r="H115" s="326"/>
      <c r="I115" s="326"/>
      <c r="J115" s="209">
        <f t="shared" si="19"/>
        <v>0</v>
      </c>
      <c r="K115" s="210"/>
      <c r="L115" s="210"/>
      <c r="M115" s="210"/>
      <c r="N115" s="209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8"/>
        <v>0</v>
      </c>
      <c r="E116" s="327"/>
      <c r="F116" s="327"/>
      <c r="G116" s="327"/>
      <c r="H116" s="327"/>
      <c r="I116" s="326"/>
      <c r="J116" s="209">
        <f t="shared" si="19"/>
        <v>0</v>
      </c>
      <c r="K116" s="210"/>
      <c r="L116" s="210"/>
      <c r="M116" s="210"/>
      <c r="N116" s="210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8"/>
        <v>0</v>
      </c>
      <c r="E117" s="324"/>
      <c r="F117" s="324"/>
      <c r="G117" s="324"/>
      <c r="H117" s="324"/>
      <c r="I117" s="324"/>
      <c r="J117" s="196">
        <f t="shared" si="19"/>
        <v>0</v>
      </c>
      <c r="K117" s="196"/>
      <c r="L117" s="196"/>
      <c r="M117" s="196"/>
      <c r="N117" s="185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8"/>
        <v>0</v>
      </c>
      <c r="E118" s="324"/>
      <c r="F118" s="324"/>
      <c r="G118" s="324"/>
      <c r="H118" s="323"/>
      <c r="I118" s="324"/>
      <c r="J118" s="196">
        <f t="shared" si="19"/>
        <v>0</v>
      </c>
      <c r="K118" s="196"/>
      <c r="L118" s="196"/>
      <c r="M118" s="196"/>
      <c r="N118" s="196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>
        <f t="shared" ref="D119:D130" si="20">SUM(E119:I119)</f>
        <v>0</v>
      </c>
      <c r="E119" s="284"/>
      <c r="F119" s="325"/>
      <c r="G119" s="284"/>
      <c r="H119" s="339"/>
      <c r="I119" s="284"/>
      <c r="J119" s="206">
        <f t="shared" ref="J119:J130" si="21">SUM(K119:O119)</f>
        <v>315.57799999999997</v>
      </c>
      <c r="K119" s="284"/>
      <c r="L119" s="325"/>
      <c r="M119" s="214"/>
      <c r="N119" s="339">
        <v>315.57799999999997</v>
      </c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20"/>
        <v>0</v>
      </c>
      <c r="E120" s="324"/>
      <c r="F120" s="324"/>
      <c r="G120" s="324"/>
      <c r="H120" s="324"/>
      <c r="I120" s="324"/>
      <c r="J120" s="196">
        <f t="shared" si="21"/>
        <v>0</v>
      </c>
      <c r="K120" s="196"/>
      <c r="L120" s="196"/>
      <c r="M120" s="196"/>
      <c r="N120" s="196"/>
      <c r="O120" s="196"/>
    </row>
    <row r="121" spans="1:15" ht="13.5" thickTop="1" thickBot="1">
      <c r="A121" s="862"/>
      <c r="B121" s="207"/>
      <c r="C121" s="208" t="s">
        <v>89</v>
      </c>
      <c r="D121" s="326">
        <f t="shared" si="20"/>
        <v>0</v>
      </c>
      <c r="E121" s="327"/>
      <c r="F121" s="327"/>
      <c r="G121" s="326"/>
      <c r="H121" s="339"/>
      <c r="I121" s="327"/>
      <c r="J121" s="209">
        <f t="shared" si="21"/>
        <v>315.57799999999997</v>
      </c>
      <c r="K121" s="210"/>
      <c r="L121" s="210"/>
      <c r="M121" s="209"/>
      <c r="N121" s="339">
        <v>315.57799999999997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20"/>
        <v>0</v>
      </c>
      <c r="E122" s="327"/>
      <c r="F122" s="327"/>
      <c r="G122" s="327"/>
      <c r="H122" s="339"/>
      <c r="I122" s="326"/>
      <c r="J122" s="209">
        <f t="shared" si="21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20"/>
        <v>0</v>
      </c>
      <c r="E123" s="327"/>
      <c r="F123" s="327"/>
      <c r="G123" s="327"/>
      <c r="H123" s="327"/>
      <c r="I123" s="326"/>
      <c r="J123" s="209">
        <f t="shared" si="21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20"/>
        <v>0</v>
      </c>
      <c r="E124" s="324"/>
      <c r="F124" s="324"/>
      <c r="G124" s="328"/>
      <c r="H124" s="328"/>
      <c r="I124" s="324"/>
      <c r="J124" s="196">
        <f t="shared" si="21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20"/>
        <v>0</v>
      </c>
      <c r="E125" s="380"/>
      <c r="F125" s="331"/>
      <c r="G125" s="326"/>
      <c r="H125" s="326"/>
      <c r="I125" s="324"/>
      <c r="J125" s="213">
        <f t="shared" si="21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20"/>
        <v>0</v>
      </c>
      <c r="E126" s="327"/>
      <c r="F126" s="327"/>
      <c r="G126" s="326"/>
      <c r="H126" s="326"/>
      <c r="I126" s="327"/>
      <c r="J126" s="209">
        <f t="shared" si="21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20"/>
        <v>0</v>
      </c>
      <c r="E127" s="327"/>
      <c r="F127" s="327"/>
      <c r="G127" s="327"/>
      <c r="H127" s="326"/>
      <c r="I127" s="326"/>
      <c r="J127" s="209">
        <f t="shared" si="21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20"/>
        <v>0</v>
      </c>
      <c r="E128" s="327"/>
      <c r="F128" s="327"/>
      <c r="G128" s="327"/>
      <c r="H128" s="327"/>
      <c r="I128" s="326"/>
      <c r="J128" s="209">
        <f t="shared" si="21"/>
        <v>0</v>
      </c>
      <c r="K128" s="210"/>
      <c r="L128" s="210"/>
      <c r="M128" s="210"/>
      <c r="N128" s="210"/>
      <c r="O128" s="209"/>
    </row>
    <row r="129" spans="1:16" ht="13.5" thickTop="1" thickBot="1">
      <c r="A129" s="862"/>
      <c r="B129" s="182" t="s">
        <v>246</v>
      </c>
      <c r="C129" s="182" t="s">
        <v>97</v>
      </c>
      <c r="D129" s="324">
        <f t="shared" si="20"/>
        <v>0</v>
      </c>
      <c r="E129" s="324"/>
      <c r="F129" s="324"/>
      <c r="G129" s="324"/>
      <c r="H129" s="324"/>
      <c r="I129" s="324"/>
      <c r="J129" s="196">
        <f t="shared" si="21"/>
        <v>0</v>
      </c>
      <c r="K129" s="196"/>
      <c r="L129" s="196"/>
      <c r="M129" s="196"/>
      <c r="N129" s="185"/>
      <c r="O129" s="196"/>
    </row>
    <row r="130" spans="1:16" ht="13.5" thickTop="1" thickBot="1">
      <c r="A130" s="862"/>
      <c r="B130" s="182" t="s">
        <v>247</v>
      </c>
      <c r="C130" s="182" t="s">
        <v>99</v>
      </c>
      <c r="D130" s="324">
        <f t="shared" si="20"/>
        <v>0</v>
      </c>
      <c r="E130" s="324"/>
      <c r="F130" s="324"/>
      <c r="G130" s="324"/>
      <c r="H130" s="323"/>
      <c r="I130" s="324"/>
      <c r="J130" s="196">
        <f t="shared" si="21"/>
        <v>0</v>
      </c>
      <c r="K130" s="196"/>
      <c r="L130" s="196"/>
      <c r="M130" s="196"/>
      <c r="N130" s="196"/>
      <c r="O130" s="196"/>
    </row>
    <row r="131" spans="1:16" ht="13.5" thickTop="1" thickBot="1">
      <c r="A131" s="862"/>
      <c r="B131" s="204" t="s">
        <v>250</v>
      </c>
      <c r="C131" s="595" t="s">
        <v>249</v>
      </c>
      <c r="D131" s="325">
        <f t="shared" ref="D131:D142" si="22">SUM(E131:I131)</f>
        <v>0</v>
      </c>
      <c r="E131" s="284"/>
      <c r="F131" s="325"/>
      <c r="G131" s="284"/>
      <c r="H131" s="339"/>
      <c r="I131" s="284"/>
      <c r="J131" s="206">
        <f t="shared" ref="J131:J142" si="23">SUM(K131:O131)</f>
        <v>0</v>
      </c>
      <c r="K131" s="284"/>
      <c r="L131" s="325"/>
      <c r="M131" s="214"/>
      <c r="N131" s="339"/>
      <c r="O131" s="214"/>
    </row>
    <row r="132" spans="1:16" ht="13.5" thickTop="1" thickBot="1">
      <c r="A132" s="862"/>
      <c r="B132" s="182" t="s">
        <v>251</v>
      </c>
      <c r="C132" s="182" t="s">
        <v>88</v>
      </c>
      <c r="D132" s="324">
        <f t="shared" si="22"/>
        <v>0</v>
      </c>
      <c r="E132" s="324"/>
      <c r="F132" s="324"/>
      <c r="G132" s="324"/>
      <c r="H132" s="324"/>
      <c r="I132" s="324"/>
      <c r="J132" s="196">
        <f t="shared" si="23"/>
        <v>0</v>
      </c>
      <c r="K132" s="196"/>
      <c r="L132" s="196"/>
      <c r="M132" s="196"/>
      <c r="N132" s="196"/>
      <c r="O132" s="196"/>
    </row>
    <row r="133" spans="1:16" ht="13.5" thickTop="1" thickBot="1">
      <c r="A133" s="862"/>
      <c r="B133" s="207"/>
      <c r="C133" s="208" t="s">
        <v>89</v>
      </c>
      <c r="D133" s="326">
        <f t="shared" si="22"/>
        <v>0</v>
      </c>
      <c r="E133" s="327"/>
      <c r="F133" s="327"/>
      <c r="G133" s="326"/>
      <c r="H133" s="339"/>
      <c r="I133" s="327"/>
      <c r="J133" s="209">
        <f t="shared" si="23"/>
        <v>0</v>
      </c>
      <c r="K133" s="210"/>
      <c r="L133" s="210"/>
      <c r="M133" s="209"/>
      <c r="N133" s="339"/>
      <c r="O133" s="210"/>
    </row>
    <row r="134" spans="1:16" ht="13.5" thickTop="1" thickBot="1">
      <c r="A134" s="862"/>
      <c r="B134" s="207"/>
      <c r="C134" s="208" t="s">
        <v>90</v>
      </c>
      <c r="D134" s="326">
        <f t="shared" si="22"/>
        <v>0</v>
      </c>
      <c r="E134" s="327"/>
      <c r="F134" s="327"/>
      <c r="G134" s="327"/>
      <c r="H134" s="339"/>
      <c r="I134" s="326"/>
      <c r="J134" s="209">
        <f t="shared" si="23"/>
        <v>0</v>
      </c>
      <c r="K134" s="210"/>
      <c r="L134" s="210"/>
      <c r="M134" s="210"/>
      <c r="N134" s="699"/>
      <c r="O134" s="209"/>
    </row>
    <row r="135" spans="1:16" ht="13.5" thickTop="1" thickBot="1">
      <c r="A135" s="862"/>
      <c r="B135" s="207"/>
      <c r="C135" s="208" t="s">
        <v>91</v>
      </c>
      <c r="D135" s="326">
        <f t="shared" si="22"/>
        <v>0</v>
      </c>
      <c r="E135" s="327"/>
      <c r="F135" s="327"/>
      <c r="G135" s="327"/>
      <c r="H135" s="327"/>
      <c r="I135" s="326"/>
      <c r="J135" s="209">
        <f t="shared" si="23"/>
        <v>0</v>
      </c>
      <c r="K135" s="210"/>
      <c r="L135" s="210"/>
      <c r="M135" s="210"/>
      <c r="N135" s="210"/>
      <c r="O135" s="209"/>
    </row>
    <row r="136" spans="1:16" ht="13.5" thickTop="1" thickBot="1">
      <c r="A136" s="862"/>
      <c r="B136" s="182" t="s">
        <v>252</v>
      </c>
      <c r="C136" s="182" t="s">
        <v>93</v>
      </c>
      <c r="D136" s="324">
        <f t="shared" si="22"/>
        <v>0</v>
      </c>
      <c r="E136" s="324"/>
      <c r="F136" s="324"/>
      <c r="G136" s="328"/>
      <c r="H136" s="328"/>
      <c r="I136" s="324"/>
      <c r="J136" s="196">
        <f t="shared" si="23"/>
        <v>0</v>
      </c>
      <c r="K136" s="196"/>
      <c r="L136" s="196"/>
      <c r="M136" s="211"/>
      <c r="N136" s="211"/>
      <c r="O136" s="196"/>
    </row>
    <row r="137" spans="1:16" ht="13.5" thickTop="1" thickBot="1">
      <c r="A137" s="862"/>
      <c r="B137" s="182" t="s">
        <v>253</v>
      </c>
      <c r="C137" s="182" t="s">
        <v>95</v>
      </c>
      <c r="D137" s="330">
        <f t="shared" si="22"/>
        <v>0</v>
      </c>
      <c r="E137" s="380"/>
      <c r="F137" s="331"/>
      <c r="G137" s="326"/>
      <c r="H137" s="326"/>
      <c r="I137" s="324"/>
      <c r="J137" s="213">
        <f t="shared" si="23"/>
        <v>0</v>
      </c>
      <c r="K137" s="383"/>
      <c r="L137" s="320"/>
      <c r="M137" s="209"/>
      <c r="N137" s="209"/>
      <c r="O137" s="196"/>
    </row>
    <row r="138" spans="1:16" ht="13.5" thickTop="1" thickBot="1">
      <c r="A138" s="862"/>
      <c r="B138" s="207"/>
      <c r="C138" s="208" t="s">
        <v>89</v>
      </c>
      <c r="D138" s="326">
        <f t="shared" si="22"/>
        <v>0</v>
      </c>
      <c r="E138" s="327"/>
      <c r="F138" s="327"/>
      <c r="G138" s="326"/>
      <c r="H138" s="326"/>
      <c r="I138" s="327"/>
      <c r="J138" s="209">
        <f t="shared" si="23"/>
        <v>0</v>
      </c>
      <c r="K138" s="210"/>
      <c r="L138" s="210"/>
      <c r="M138" s="209"/>
      <c r="N138" s="209"/>
      <c r="O138" s="210"/>
    </row>
    <row r="139" spans="1:16" ht="13.5" thickTop="1" thickBot="1">
      <c r="A139" s="862"/>
      <c r="B139" s="207"/>
      <c r="C139" s="208" t="s">
        <v>90</v>
      </c>
      <c r="D139" s="326">
        <f t="shared" si="22"/>
        <v>0</v>
      </c>
      <c r="E139" s="327"/>
      <c r="F139" s="327"/>
      <c r="G139" s="327"/>
      <c r="H139" s="326"/>
      <c r="I139" s="326"/>
      <c r="J139" s="209">
        <f t="shared" si="23"/>
        <v>0</v>
      </c>
      <c r="K139" s="210"/>
      <c r="L139" s="210"/>
      <c r="M139" s="210"/>
      <c r="N139" s="209"/>
      <c r="O139" s="209"/>
    </row>
    <row r="140" spans="1:16" ht="13.5" thickTop="1" thickBot="1">
      <c r="A140" s="862"/>
      <c r="B140" s="207"/>
      <c r="C140" s="208" t="s">
        <v>91</v>
      </c>
      <c r="D140" s="326">
        <f t="shared" si="22"/>
        <v>0</v>
      </c>
      <c r="E140" s="327"/>
      <c r="F140" s="327"/>
      <c r="G140" s="327"/>
      <c r="H140" s="327"/>
      <c r="I140" s="326"/>
      <c r="J140" s="209">
        <f t="shared" si="23"/>
        <v>0</v>
      </c>
      <c r="K140" s="210"/>
      <c r="L140" s="210"/>
      <c r="M140" s="210"/>
      <c r="N140" s="210"/>
      <c r="O140" s="209"/>
    </row>
    <row r="141" spans="1:16" ht="13.5" thickTop="1" thickBot="1">
      <c r="A141" s="862"/>
      <c r="B141" s="182" t="s">
        <v>254</v>
      </c>
      <c r="C141" s="182" t="s">
        <v>97</v>
      </c>
      <c r="D141" s="324">
        <f t="shared" si="22"/>
        <v>0</v>
      </c>
      <c r="E141" s="324"/>
      <c r="F141" s="324"/>
      <c r="G141" s="324"/>
      <c r="H141" s="324"/>
      <c r="I141" s="324"/>
      <c r="J141" s="196">
        <f t="shared" si="23"/>
        <v>0</v>
      </c>
      <c r="K141" s="196"/>
      <c r="L141" s="196"/>
      <c r="M141" s="196"/>
      <c r="N141" s="185"/>
      <c r="O141" s="196"/>
    </row>
    <row r="142" spans="1:16" ht="13.5" thickTop="1" thickBot="1">
      <c r="A142" s="862"/>
      <c r="B142" s="182" t="s">
        <v>255</v>
      </c>
      <c r="C142" s="182" t="s">
        <v>99</v>
      </c>
      <c r="D142" s="324">
        <f t="shared" si="22"/>
        <v>0</v>
      </c>
      <c r="E142" s="324"/>
      <c r="F142" s="324"/>
      <c r="G142" s="324"/>
      <c r="H142" s="323"/>
      <c r="I142" s="324"/>
      <c r="J142" s="196">
        <f t="shared" si="23"/>
        <v>0</v>
      </c>
      <c r="K142" s="196"/>
      <c r="L142" s="196"/>
      <c r="M142" s="196"/>
      <c r="N142" s="196"/>
      <c r="O142" s="196"/>
    </row>
    <row r="143" spans="1:16" ht="12.75" customHeight="1" thickTop="1" thickBot="1">
      <c r="A143" s="862"/>
      <c r="B143" s="257" t="s">
        <v>100</v>
      </c>
      <c r="C143" s="257" t="s">
        <v>101</v>
      </c>
      <c r="D143" s="285">
        <f>SUM(E143:I143)</f>
        <v>254396.6</v>
      </c>
      <c r="E143" s="386">
        <f>SUM(E144:E147)</f>
        <v>0</v>
      </c>
      <c r="F143" s="386">
        <f>SUM(F144:F147)</f>
        <v>81390</v>
      </c>
      <c r="G143" s="386">
        <f>SUM(G144:G147)</f>
        <v>3886.4</v>
      </c>
      <c r="H143" s="386">
        <f>SUM(H144:H147)</f>
        <v>54482</v>
      </c>
      <c r="I143" s="285">
        <f>SUM(I144:I147)</f>
        <v>114638.20000000001</v>
      </c>
      <c r="J143" s="285">
        <f>SUM(K143:O143)</f>
        <v>195377.973</v>
      </c>
      <c r="K143" s="386">
        <f>SUM(K144:K147)</f>
        <v>0</v>
      </c>
      <c r="L143" s="386">
        <f>SUM(L144:L147)</f>
        <v>74457.551999999996</v>
      </c>
      <c r="M143" s="386">
        <f>SUM(M144:M147)</f>
        <v>1737.6579999999999</v>
      </c>
      <c r="N143" s="618">
        <f>SUM(N144:N147)</f>
        <v>50712.012000000002</v>
      </c>
      <c r="O143" s="261">
        <f>SUM(O144:O147)</f>
        <v>68470.751000000004</v>
      </c>
      <c r="P143" s="24"/>
    </row>
    <row r="144" spans="1:16" ht="12.75" customHeight="1" thickTop="1" thickBot="1">
      <c r="A144" s="862"/>
      <c r="B144" s="249" t="s">
        <v>102</v>
      </c>
      <c r="C144" s="250" t="s">
        <v>103</v>
      </c>
      <c r="D144" s="358">
        <f>SUM(E144:I144)</f>
        <v>63610.9</v>
      </c>
      <c r="E144" s="252"/>
      <c r="F144" s="287"/>
      <c r="G144" s="287"/>
      <c r="H144" s="287"/>
      <c r="I144" s="288">
        <v>63610.9</v>
      </c>
      <c r="J144" s="358">
        <f>SUM(K144:O144)</f>
        <v>39935.383999999998</v>
      </c>
      <c r="K144" s="252"/>
      <c r="L144" s="287"/>
      <c r="M144" s="287"/>
      <c r="N144" s="287"/>
      <c r="O144" s="288">
        <v>39935.383999999998</v>
      </c>
      <c r="P144" s="24"/>
    </row>
    <row r="145" spans="1:20" ht="12.75" customHeight="1" thickTop="1" thickBot="1">
      <c r="A145" s="862"/>
      <c r="B145" s="249" t="s">
        <v>104</v>
      </c>
      <c r="C145" s="250" t="s">
        <v>206</v>
      </c>
      <c r="D145" s="358">
        <f>SUM(E145:I145)</f>
        <v>0</v>
      </c>
      <c r="E145" s="252"/>
      <c r="F145" s="287"/>
      <c r="G145" s="287"/>
      <c r="H145" s="287"/>
      <c r="I145" s="288"/>
      <c r="J145" s="358">
        <f>SUM(K145:O145)</f>
        <v>0</v>
      </c>
      <c r="K145" s="252"/>
      <c r="L145" s="287"/>
      <c r="M145" s="287"/>
      <c r="N145" s="287"/>
      <c r="O145" s="288"/>
      <c r="P145" s="24"/>
    </row>
    <row r="146" spans="1:20" ht="12.75" customHeight="1" thickTop="1" thickBot="1">
      <c r="A146" s="862"/>
      <c r="B146" s="249" t="s">
        <v>106</v>
      </c>
      <c r="C146" s="250" t="s">
        <v>105</v>
      </c>
      <c r="D146" s="358">
        <f>SUM(E146:I146)</f>
        <v>190785.7</v>
      </c>
      <c r="E146" s="289"/>
      <c r="F146" s="290">
        <v>81390</v>
      </c>
      <c r="G146" s="290">
        <v>3886.4</v>
      </c>
      <c r="H146" s="290">
        <v>54482</v>
      </c>
      <c r="I146" s="290">
        <v>51027.3</v>
      </c>
      <c r="J146" s="358">
        <f>SUM(K146:O146)</f>
        <v>137524.19</v>
      </c>
      <c r="K146" s="289"/>
      <c r="L146" s="290">
        <v>74457.551999999996</v>
      </c>
      <c r="M146" s="290">
        <v>1584.8439999999998</v>
      </c>
      <c r="N146" s="236">
        <v>36617.730000000003</v>
      </c>
      <c r="O146" s="290">
        <v>24864.064000000006</v>
      </c>
    </row>
    <row r="147" spans="1:20" ht="12.75" customHeight="1" thickTop="1" thickBot="1">
      <c r="A147" s="862"/>
      <c r="B147" s="249" t="s">
        <v>207</v>
      </c>
      <c r="C147" s="250" t="s">
        <v>107</v>
      </c>
      <c r="D147" s="358">
        <f>SUM(E147:I147)</f>
        <v>0</v>
      </c>
      <c r="E147" s="289"/>
      <c r="F147" s="290"/>
      <c r="G147" s="290"/>
      <c r="H147" s="290"/>
      <c r="I147" s="290"/>
      <c r="J147" s="604">
        <f>SUM(K147:O147)</f>
        <v>17918.399000000001</v>
      </c>
      <c r="K147" s="289"/>
      <c r="L147" s="619"/>
      <c r="M147" s="290">
        <v>152.81399999999999</v>
      </c>
      <c r="N147" s="290">
        <v>14094.282000000001</v>
      </c>
      <c r="O147" s="290">
        <v>3671.3029999999999</v>
      </c>
      <c r="P147" s="24"/>
    </row>
    <row r="148" spans="1:20" ht="12.75" customHeight="1" thickTop="1" thickBot="1">
      <c r="A148" s="862"/>
      <c r="B148" s="249" t="s">
        <v>108</v>
      </c>
      <c r="C148" s="249" t="s">
        <v>169</v>
      </c>
      <c r="D148" s="291">
        <f>D150/1.18/D143</f>
        <v>1.2182824660569542</v>
      </c>
      <c r="E148" s="596">
        <v>0.68012000000000006</v>
      </c>
      <c r="F148" s="596">
        <v>0.68012000000000006</v>
      </c>
      <c r="G148" s="596">
        <v>0.88302999999999987</v>
      </c>
      <c r="H148" s="596">
        <v>1.42133</v>
      </c>
      <c r="I148" s="596">
        <v>2.0129099999999998</v>
      </c>
      <c r="J148" s="291">
        <f>J150/1.18/J143</f>
        <v>1.1403122312564886</v>
      </c>
      <c r="K148" s="596">
        <v>0.68088786400068591</v>
      </c>
      <c r="L148" s="596">
        <v>0.68088786400068591</v>
      </c>
      <c r="M148" s="596">
        <v>0.85369284980128424</v>
      </c>
      <c r="N148" s="596">
        <v>1.404150797250955</v>
      </c>
      <c r="O148" s="596">
        <v>2.0114376979977164</v>
      </c>
    </row>
    <row r="149" spans="1:20" ht="12.75" customHeight="1" thickTop="1" thickBot="1">
      <c r="A149" s="862"/>
      <c r="B149" s="249" t="s">
        <v>205</v>
      </c>
      <c r="C149" s="249" t="s">
        <v>169</v>
      </c>
      <c r="D149" s="291"/>
      <c r="E149" s="289"/>
      <c r="F149" s="290"/>
      <c r="G149" s="290"/>
      <c r="H149" s="290"/>
      <c r="I149" s="598">
        <v>1.2726900000000001</v>
      </c>
      <c r="J149" s="291"/>
      <c r="K149" s="289"/>
      <c r="L149" s="290"/>
      <c r="M149" s="290"/>
      <c r="N149" s="290"/>
      <c r="O149" s="598">
        <v>1.2726899999258803</v>
      </c>
    </row>
    <row r="150" spans="1:20" ht="12.75" customHeight="1" thickTop="1" thickBot="1">
      <c r="A150" s="862"/>
      <c r="B150" s="249" t="s">
        <v>109</v>
      </c>
      <c r="C150" s="292" t="s">
        <v>110</v>
      </c>
      <c r="D150" s="285">
        <f>SUM(E150:I150)</f>
        <v>365713.76230131532</v>
      </c>
      <c r="E150" s="597">
        <f>E143*E148*1.18</f>
        <v>0</v>
      </c>
      <c r="F150" s="597">
        <f>(F143*F148-F195)*1.18</f>
        <v>53557.709714435347</v>
      </c>
      <c r="G150" s="597">
        <f>G143*G148*1.18</f>
        <v>4049.5331945599992</v>
      </c>
      <c r="H150" s="597">
        <f>H143*H148*1.18</f>
        <v>91375.543250799994</v>
      </c>
      <c r="I150" s="597">
        <f>(I148*I146+I147*I148+I149*I144+I149*I145)*1.18</f>
        <v>216730.97614151999</v>
      </c>
      <c r="J150" s="261">
        <f>SUM(K150:O150)</f>
        <v>262894.43294939998</v>
      </c>
      <c r="K150" s="261">
        <f>K143*K148*1.18</f>
        <v>0</v>
      </c>
      <c r="L150" s="285">
        <f>(L143*L148-L195)*1.18</f>
        <v>49416.839178599992</v>
      </c>
      <c r="M150" s="261">
        <f>M143*M148*1.18</f>
        <v>1750.4429277999998</v>
      </c>
      <c r="N150" s="261">
        <f>N143*N148*1.18</f>
        <v>84024.628254399999</v>
      </c>
      <c r="O150" s="597">
        <f>(O148*O146+O147*O148+O149*O144+O149*O145)*1.18</f>
        <v>127702.5225886</v>
      </c>
      <c r="Q150" s="24"/>
    </row>
    <row r="151" spans="1:20" ht="12.75" customHeight="1" thickTop="1" thickBot="1">
      <c r="A151" s="863" t="s">
        <v>111</v>
      </c>
      <c r="B151" s="220" t="s">
        <v>112</v>
      </c>
      <c r="C151" s="221" t="s">
        <v>113</v>
      </c>
      <c r="D151" s="447">
        <f>SUM(E151:I151)</f>
        <v>41100</v>
      </c>
      <c r="E151" s="222">
        <f>E44-E34-E46</f>
        <v>0</v>
      </c>
      <c r="F151" s="222">
        <f t="shared" ref="F151:I151" si="24">F44-F34-F46</f>
        <v>6560</v>
      </c>
      <c r="G151" s="222">
        <f t="shared" si="24"/>
        <v>2570</v>
      </c>
      <c r="H151" s="222">
        <f t="shared" si="24"/>
        <v>10420</v>
      </c>
      <c r="I151" s="222">
        <f t="shared" si="24"/>
        <v>21550</v>
      </c>
      <c r="J151" s="685">
        <f>SUM(K151:O151)</f>
        <v>75885.490999999995</v>
      </c>
      <c r="K151" s="222">
        <f>K44-K34-K46</f>
        <v>0</v>
      </c>
      <c r="L151" s="335">
        <f>L44-L34-L46</f>
        <v>6504.9610000000248</v>
      </c>
      <c r="M151" s="335">
        <f>M44-M34-M46</f>
        <v>2225.3809999999958</v>
      </c>
      <c r="N151" s="335">
        <f>N44-N34-N46</f>
        <v>9928.6239999999962</v>
      </c>
      <c r="O151" s="335">
        <f>O44-O34-O46</f>
        <v>57226.52499999998</v>
      </c>
    </row>
    <row r="152" spans="1:20" ht="12.75" customHeight="1" thickTop="1" thickBot="1">
      <c r="A152" s="863"/>
      <c r="B152" s="234" t="s">
        <v>114</v>
      </c>
      <c r="C152" s="179" t="s">
        <v>115</v>
      </c>
      <c r="D152" s="346">
        <f t="shared" ref="D152:J152" si="25">IF(D44=0,0,D151/D44*100)</f>
        <v>13.816519312871886</v>
      </c>
      <c r="E152" s="346">
        <f t="shared" si="25"/>
        <v>0</v>
      </c>
      <c r="F152" s="346">
        <f t="shared" si="25"/>
        <v>2.8652544223629612</v>
      </c>
      <c r="G152" s="346">
        <f t="shared" si="25"/>
        <v>2.8144027333654562</v>
      </c>
      <c r="H152" s="346">
        <f t="shared" si="25"/>
        <v>4.7066263155517412</v>
      </c>
      <c r="I152" s="346">
        <f t="shared" si="25"/>
        <v>15.729927007299271</v>
      </c>
      <c r="J152" s="346">
        <f t="shared" si="25"/>
        <v>27.794906352008308</v>
      </c>
      <c r="K152" s="346">
        <f>IF(K44=0,0,K151/K44*100)</f>
        <v>0</v>
      </c>
      <c r="L152" s="346">
        <f t="shared" ref="L152:O152" si="26">IF(L44=0,0,L151/L44*100)</f>
        <v>3.0312840925393458</v>
      </c>
      <c r="M152" s="346">
        <f t="shared" si="26"/>
        <v>3.1548284030318992</v>
      </c>
      <c r="N152" s="346">
        <f t="shared" si="26"/>
        <v>4.7638252701861497</v>
      </c>
      <c r="O152" s="346">
        <f t="shared" si="26"/>
        <v>44.987852031370451</v>
      </c>
      <c r="Q152" s="24"/>
      <c r="R152" s="24"/>
      <c r="S152" s="24"/>
      <c r="T152" s="24"/>
    </row>
    <row r="153" spans="1:20" ht="12.75" customHeight="1" thickTop="1" thickBot="1">
      <c r="A153" s="863"/>
      <c r="B153" s="234" t="s">
        <v>116</v>
      </c>
      <c r="C153" s="179" t="s">
        <v>117</v>
      </c>
      <c r="D153" s="346">
        <f t="shared" ref="D153:J153" si="27">IF(D45=0,0,D151/D45*100)</f>
        <v>13.816519312871886</v>
      </c>
      <c r="E153" s="346">
        <f t="shared" si="27"/>
        <v>0</v>
      </c>
      <c r="F153" s="346">
        <f t="shared" si="27"/>
        <v>2.8652544223629612</v>
      </c>
      <c r="G153" s="346">
        <f t="shared" si="27"/>
        <v>2.8765737208760904</v>
      </c>
      <c r="H153" s="346">
        <f t="shared" si="27"/>
        <v>5.1609196540896081</v>
      </c>
      <c r="I153" s="346">
        <f t="shared" si="27"/>
        <v>15.823691039311774</v>
      </c>
      <c r="J153" s="346">
        <f t="shared" si="27"/>
        <v>27.794906352008308</v>
      </c>
      <c r="K153" s="346">
        <f>IF(K45=0,0,K151/K45*100)</f>
        <v>0</v>
      </c>
      <c r="L153" s="346">
        <f t="shared" ref="L153:O153" si="28">IF(L45=0,0,L151/L45*100)</f>
        <v>3.0312840925393458</v>
      </c>
      <c r="M153" s="346">
        <f t="shared" si="28"/>
        <v>3.2689472246042635</v>
      </c>
      <c r="N153" s="346">
        <f t="shared" si="28"/>
        <v>5.2854832535213223</v>
      </c>
      <c r="O153" s="346">
        <f t="shared" si="28"/>
        <v>45.527259476967494</v>
      </c>
    </row>
    <row r="154" spans="1:20" ht="12.75" customHeight="1" thickTop="1" thickBot="1">
      <c r="A154" s="863"/>
      <c r="B154" s="224" t="s">
        <v>118</v>
      </c>
      <c r="C154" s="225" t="s">
        <v>209</v>
      </c>
      <c r="D154" s="451">
        <f>SUM(E154:I154)</f>
        <v>4509.3422358888665</v>
      </c>
      <c r="E154" s="442"/>
      <c r="F154" s="290">
        <f>3821.47647109226*1.18</f>
        <v>4509.3422358888665</v>
      </c>
      <c r="G154" s="442"/>
      <c r="H154" s="442"/>
      <c r="I154" s="442"/>
      <c r="J154" s="442">
        <f>SUM(K154:O154)</f>
        <v>3942.4288165999997</v>
      </c>
      <c r="K154" s="442">
        <v>0</v>
      </c>
      <c r="L154" s="452">
        <f>3341.04137*1.18</f>
        <v>3942.4288165999997</v>
      </c>
      <c r="M154" s="442">
        <v>0</v>
      </c>
      <c r="N154" s="442">
        <v>0</v>
      </c>
      <c r="O154" s="442">
        <v>0</v>
      </c>
    </row>
    <row r="155" spans="1:20" ht="12.75" customHeight="1" thickTop="1" thickBot="1">
      <c r="A155" s="863"/>
      <c r="B155" s="227" t="s">
        <v>120</v>
      </c>
      <c r="C155" s="186" t="s">
        <v>121</v>
      </c>
      <c r="D155" s="443">
        <f>SUM(E155:I155)</f>
        <v>41100</v>
      </c>
      <c r="E155" s="448">
        <f>E151</f>
        <v>0</v>
      </c>
      <c r="F155" s="448">
        <f>F151</f>
        <v>6560</v>
      </c>
      <c r="G155" s="448">
        <f>G151</f>
        <v>2570</v>
      </c>
      <c r="H155" s="448">
        <f>H151</f>
        <v>10420</v>
      </c>
      <c r="I155" s="448">
        <f>I151</f>
        <v>21550</v>
      </c>
      <c r="J155" s="448">
        <f>SUM(K155:O155)</f>
        <v>75885.490999999995</v>
      </c>
      <c r="K155" s="448">
        <f>K151</f>
        <v>0</v>
      </c>
      <c r="L155" s="448">
        <f>L151</f>
        <v>6504.9610000000248</v>
      </c>
      <c r="M155" s="448">
        <f>M151</f>
        <v>2225.3809999999958</v>
      </c>
      <c r="N155" s="448">
        <f>N151</f>
        <v>9928.6239999999962</v>
      </c>
      <c r="O155" s="448">
        <f>O151</f>
        <v>57226.52499999998</v>
      </c>
    </row>
    <row r="156" spans="1:20" ht="12.75" customHeight="1" thickTop="1" thickBot="1">
      <c r="A156" s="863"/>
      <c r="B156" s="227" t="s">
        <v>122</v>
      </c>
      <c r="C156" s="186" t="s">
        <v>167</v>
      </c>
      <c r="D156" s="444">
        <f>D157/1.18/D155</f>
        <v>1.5686630045939747</v>
      </c>
      <c r="E156" s="341">
        <v>1.5686630045939749</v>
      </c>
      <c r="F156" s="341">
        <v>1.5686630045939749</v>
      </c>
      <c r="G156" s="341">
        <v>1.5686630045939749</v>
      </c>
      <c r="H156" s="341">
        <v>1.5686630045939749</v>
      </c>
      <c r="I156" s="341">
        <v>1.5686630045939749</v>
      </c>
      <c r="J156" s="444">
        <f>J157/1.18/J155</f>
        <v>1.4697316004715575</v>
      </c>
      <c r="K156" s="341">
        <v>1.4697316004715575</v>
      </c>
      <c r="L156" s="341">
        <v>1.4697316004715575</v>
      </c>
      <c r="M156" s="341">
        <v>1.4697316004715575</v>
      </c>
      <c r="N156" s="341">
        <v>1.4697316004715575</v>
      </c>
      <c r="O156" s="341">
        <v>1.4697316004715575</v>
      </c>
    </row>
    <row r="157" spans="1:20" ht="12.75" customHeight="1" thickTop="1" thickBot="1">
      <c r="A157" s="863"/>
      <c r="B157" s="227" t="s">
        <v>124</v>
      </c>
      <c r="C157" s="186" t="s">
        <v>168</v>
      </c>
      <c r="D157" s="443">
        <f>SUM(E157:I157)</f>
        <v>76077.018396798579</v>
      </c>
      <c r="E157" s="443">
        <f>E155*E156*1.18</f>
        <v>0</v>
      </c>
      <c r="F157" s="443">
        <f>F155*F156*1.18</f>
        <v>12142.706585961039</v>
      </c>
      <c r="G157" s="443">
        <f>G155*G156*1.18</f>
        <v>4757.1274277316879</v>
      </c>
      <c r="H157" s="443">
        <f>H155*H156*1.18</f>
        <v>19287.652839285678</v>
      </c>
      <c r="I157" s="443">
        <f>I155*I156*1.18</f>
        <v>39889.53154382018</v>
      </c>
      <c r="J157" s="448">
        <f>SUM(K157:O157)</f>
        <v>131606.93888519995</v>
      </c>
      <c r="K157" s="448">
        <f>K155*K156*1.18</f>
        <v>0</v>
      </c>
      <c r="L157" s="448">
        <f>L155*L156*1.18</f>
        <v>11281.445155011417</v>
      </c>
      <c r="M157" s="448">
        <f>M155*M156*1.18</f>
        <v>3859.4410789710068</v>
      </c>
      <c r="N157" s="448">
        <f>N155*N156*1.18</f>
        <v>17219.046681560369</v>
      </c>
      <c r="O157" s="448">
        <f>O155*O156*1.18</f>
        <v>99247.005969657155</v>
      </c>
    </row>
    <row r="158" spans="1:20" ht="12.75" customHeight="1" thickTop="1" thickBot="1">
      <c r="A158" s="863"/>
      <c r="B158" s="229" t="s">
        <v>126</v>
      </c>
      <c r="C158" s="225" t="s">
        <v>127</v>
      </c>
      <c r="D158" s="445">
        <f>SUM(E158:I158)</f>
        <v>37300</v>
      </c>
      <c r="E158" s="451">
        <f>E160*E45</f>
        <v>0</v>
      </c>
      <c r="F158" s="451">
        <f>F160*F45/100</f>
        <v>6560</v>
      </c>
      <c r="G158" s="451">
        <f>G160*G45/100</f>
        <v>2570</v>
      </c>
      <c r="H158" s="451">
        <f>H160*H45/100</f>
        <v>10420</v>
      </c>
      <c r="I158" s="451">
        <f>I160*I45/100</f>
        <v>17750</v>
      </c>
      <c r="J158" s="442">
        <f>SUM(K158:O158)</f>
        <v>34236.635000000017</v>
      </c>
      <c r="K158" s="453">
        <v>0</v>
      </c>
      <c r="L158" s="453">
        <v>6504.9610000000248</v>
      </c>
      <c r="M158" s="453">
        <v>2225.3809999999958</v>
      </c>
      <c r="N158" s="453">
        <v>9928.6239999999962</v>
      </c>
      <c r="O158" s="453">
        <v>15577.669</v>
      </c>
    </row>
    <row r="159" spans="1:20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29">IF(D44=0,0,D158/D44*100)</f>
        <v>12.53907957104918</v>
      </c>
      <c r="E159" s="345">
        <f t="shared" si="29"/>
        <v>0</v>
      </c>
      <c r="F159" s="345">
        <f t="shared" si="29"/>
        <v>2.8652544223629612</v>
      </c>
      <c r="G159" s="345">
        <f t="shared" si="29"/>
        <v>2.8144027333654562</v>
      </c>
      <c r="H159" s="345">
        <f t="shared" si="29"/>
        <v>4.7066263155517412</v>
      </c>
      <c r="I159" s="345">
        <f t="shared" si="29"/>
        <v>12.956204379562045</v>
      </c>
      <c r="J159" s="345">
        <f t="shared" si="29"/>
        <v>12.540000085561683</v>
      </c>
      <c r="K159" s="345">
        <f>IF(K44=0,0,K158/K44*100)</f>
        <v>0</v>
      </c>
      <c r="L159" s="345">
        <f t="shared" si="29"/>
        <v>3.0312840925393458</v>
      </c>
      <c r="M159" s="345">
        <f t="shared" si="29"/>
        <v>3.1548284030318992</v>
      </c>
      <c r="N159" s="345">
        <f t="shared" si="29"/>
        <v>4.7638252701861497</v>
      </c>
      <c r="O159" s="345">
        <f t="shared" si="29"/>
        <v>12.246171997437671</v>
      </c>
      <c r="P159" s="25"/>
      <c r="Q159" s="25"/>
      <c r="R159" s="25"/>
      <c r="S159" s="25"/>
    </row>
    <row r="160" spans="1:20" ht="12.75" customHeight="1" thickTop="1" thickBot="1">
      <c r="A160" s="863"/>
      <c r="B160" s="230" t="s">
        <v>130</v>
      </c>
      <c r="C160" s="225" t="s">
        <v>131</v>
      </c>
      <c r="D160" s="345">
        <f>IF(D45=0,0,D158/D45*100)</f>
        <v>12.53907957104918</v>
      </c>
      <c r="E160" s="317">
        <v>0</v>
      </c>
      <c r="F160" s="481">
        <v>2.8652544223629612</v>
      </c>
      <c r="G160" s="481">
        <v>2.8765737208760904</v>
      </c>
      <c r="H160" s="481">
        <v>5.1609196540896081</v>
      </c>
      <c r="I160" s="481">
        <v>13.033434614746357</v>
      </c>
      <c r="J160" s="345">
        <f>IF(J45=0,0,J158/J45*100)</f>
        <v>12.540000085561683</v>
      </c>
      <c r="K160" s="345">
        <f>IF(K45=0,0,K158/K45*100)</f>
        <v>0</v>
      </c>
      <c r="L160" s="345">
        <f t="shared" ref="L160:O160" si="30">IF(L45=0,0,L158/L45*100)</f>
        <v>3.0312840925393458</v>
      </c>
      <c r="M160" s="345">
        <f t="shared" si="30"/>
        <v>3.2689472246042635</v>
      </c>
      <c r="N160" s="345">
        <f t="shared" si="30"/>
        <v>5.2854832535213223</v>
      </c>
      <c r="O160" s="345">
        <f t="shared" si="30"/>
        <v>12.393004443469405</v>
      </c>
      <c r="P160" s="25"/>
      <c r="Q160" s="25"/>
      <c r="R160" s="25"/>
      <c r="S160" s="25"/>
    </row>
    <row r="161" spans="1:15" ht="12.75" customHeight="1" thickTop="1" thickBot="1">
      <c r="A161" s="863"/>
      <c r="B161" s="231" t="s">
        <v>132</v>
      </c>
      <c r="C161" s="186" t="s">
        <v>133</v>
      </c>
      <c r="D161" s="443">
        <f>SUM(E161:I161)</f>
        <v>3800</v>
      </c>
      <c r="E161" s="251">
        <f>E151-E158</f>
        <v>0</v>
      </c>
      <c r="F161" s="448">
        <f>F151-F158</f>
        <v>0</v>
      </c>
      <c r="G161" s="448">
        <f>G151-G158</f>
        <v>0</v>
      </c>
      <c r="H161" s="448">
        <f>H151-H158</f>
        <v>0</v>
      </c>
      <c r="I161" s="448">
        <f>I151-I158</f>
        <v>3800</v>
      </c>
      <c r="J161" s="450">
        <f>SUM(K161:O161)</f>
        <v>41648.855999999978</v>
      </c>
      <c r="K161" s="448">
        <f>K151-K158</f>
        <v>0</v>
      </c>
      <c r="L161" s="448">
        <f>L151-L158</f>
        <v>0</v>
      </c>
      <c r="M161" s="448">
        <f>M151-M158</f>
        <v>0</v>
      </c>
      <c r="N161" s="448">
        <f>N151-N158</f>
        <v>0</v>
      </c>
      <c r="O161" s="448">
        <f>O151-O158</f>
        <v>41648.855999999978</v>
      </c>
    </row>
    <row r="162" spans="1:15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1.2774397418227048</v>
      </c>
      <c r="E162" s="347">
        <f t="shared" ref="E162:I162" si="31">IF(E44=0,0,E161/E44*100)</f>
        <v>0</v>
      </c>
      <c r="F162" s="347">
        <f t="shared" si="31"/>
        <v>0</v>
      </c>
      <c r="G162" s="347">
        <f t="shared" si="31"/>
        <v>0</v>
      </c>
      <c r="H162" s="347">
        <f t="shared" si="31"/>
        <v>0</v>
      </c>
      <c r="I162" s="347">
        <f t="shared" si="31"/>
        <v>2.7737226277372264</v>
      </c>
      <c r="J162" s="347">
        <f>IF(J44=0,0,J161/J44*100)</f>
        <v>15.254906266446621</v>
      </c>
      <c r="K162" s="347">
        <f>IF(K44=0,0,K161/K44*100)</f>
        <v>0</v>
      </c>
      <c r="L162" s="347">
        <f t="shared" ref="L162:O162" si="32">IF(L44=0,0,L161/L44*100)</f>
        <v>0</v>
      </c>
      <c r="M162" s="347">
        <f t="shared" si="32"/>
        <v>0</v>
      </c>
      <c r="N162" s="347">
        <f t="shared" si="32"/>
        <v>0</v>
      </c>
      <c r="O162" s="347">
        <f t="shared" si="32"/>
        <v>32.741680033932781</v>
      </c>
    </row>
    <row r="163" spans="1:15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1.2774397418227048</v>
      </c>
      <c r="E163" s="347">
        <f t="shared" ref="E163:O163" si="33">IF(E45=0,0,E161/E45*100)</f>
        <v>0</v>
      </c>
      <c r="F163" s="347">
        <f t="shared" si="33"/>
        <v>0</v>
      </c>
      <c r="G163" s="347">
        <f t="shared" si="33"/>
        <v>0</v>
      </c>
      <c r="H163" s="347">
        <f t="shared" si="33"/>
        <v>0</v>
      </c>
      <c r="I163" s="347">
        <f t="shared" si="33"/>
        <v>2.7902564245654173</v>
      </c>
      <c r="J163" s="347">
        <f t="shared" si="33"/>
        <v>15.254906266446621</v>
      </c>
      <c r="K163" s="347">
        <f t="shared" si="33"/>
        <v>0</v>
      </c>
      <c r="L163" s="347">
        <f t="shared" si="33"/>
        <v>0</v>
      </c>
      <c r="M163" s="347">
        <f t="shared" si="33"/>
        <v>0</v>
      </c>
      <c r="N163" s="347">
        <f t="shared" si="33"/>
        <v>0</v>
      </c>
      <c r="O163" s="347">
        <f t="shared" si="33"/>
        <v>33.134255033498086</v>
      </c>
    </row>
    <row r="164" spans="1:15">
      <c r="A164" s="94" t="s">
        <v>210</v>
      </c>
      <c r="D164" s="95"/>
      <c r="E164" s="95"/>
      <c r="F164" s="601"/>
      <c r="G164" s="601"/>
      <c r="H164" s="601"/>
      <c r="I164" s="601"/>
      <c r="J164" s="348"/>
      <c r="K164" s="348"/>
      <c r="L164" s="348"/>
      <c r="M164" s="348"/>
      <c r="N164" s="348"/>
      <c r="O164" s="348"/>
    </row>
    <row r="165" spans="1:15" ht="12.75" thickBot="1">
      <c r="D165" s="95"/>
      <c r="E165" s="93"/>
      <c r="F165" s="342"/>
      <c r="G165" s="342"/>
      <c r="H165" s="342"/>
      <c r="I165" s="342"/>
      <c r="J165" s="348"/>
      <c r="K165" s="348"/>
      <c r="L165" s="342"/>
      <c r="M165" s="342"/>
      <c r="N165" s="342"/>
      <c r="O165" s="342"/>
    </row>
    <row r="166" spans="1:15" ht="12.75" customHeight="1" thickBot="1">
      <c r="B166" s="854" t="s">
        <v>138</v>
      </c>
      <c r="C166" s="855" t="s">
        <v>139</v>
      </c>
      <c r="D166" s="842" t="s">
        <v>140</v>
      </c>
      <c r="E166" s="843"/>
      <c r="F166" s="843"/>
      <c r="G166" s="843"/>
      <c r="H166" s="843"/>
      <c r="I166" s="844"/>
      <c r="J166" s="842" t="s">
        <v>140</v>
      </c>
      <c r="K166" s="843"/>
      <c r="L166" s="843"/>
      <c r="M166" s="843"/>
      <c r="N166" s="843"/>
      <c r="O166" s="844"/>
    </row>
    <row r="167" spans="1:15">
      <c r="B167" s="854"/>
      <c r="C167" s="855"/>
      <c r="D167" s="96" t="s">
        <v>141</v>
      </c>
      <c r="E167" s="97"/>
      <c r="F167" s="97" t="s">
        <v>5</v>
      </c>
      <c r="G167" s="98" t="s">
        <v>74</v>
      </c>
      <c r="H167" s="98" t="s">
        <v>76</v>
      </c>
      <c r="I167" s="99" t="s">
        <v>8</v>
      </c>
      <c r="J167" s="96" t="s">
        <v>141</v>
      </c>
      <c r="K167" s="97"/>
      <c r="L167" s="97" t="s">
        <v>5</v>
      </c>
      <c r="M167" s="98" t="s">
        <v>74</v>
      </c>
      <c r="N167" s="98" t="s">
        <v>76</v>
      </c>
      <c r="O167" s="99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>
        <f>D174+D175+D176</f>
        <v>297470</v>
      </c>
      <c r="E169" s="35"/>
      <c r="F169" s="36">
        <f>F170+F174+F175+F176</f>
        <v>228950</v>
      </c>
      <c r="G169" s="36">
        <f>G170+G174+G175+G176</f>
        <v>89526</v>
      </c>
      <c r="H169" s="36">
        <f>H170+H174+H175+H176</f>
        <v>202880</v>
      </c>
      <c r="I169" s="37">
        <f>I170+I174+I175+I176</f>
        <v>137000</v>
      </c>
      <c r="J169" s="34">
        <f>J174+J175+J176</f>
        <v>273019.41599999997</v>
      </c>
      <c r="K169" s="35"/>
      <c r="L169" s="36">
        <f>L170+L174+L175+L176</f>
        <v>214594.23800000001</v>
      </c>
      <c r="M169" s="36">
        <f>M170+M174+M175+M176</f>
        <v>68076.381999999998</v>
      </c>
      <c r="N169" s="36">
        <f>N170+N174+N175+N176</f>
        <v>188095.87599999996</v>
      </c>
      <c r="O169" s="37">
        <f>O170+O174+O175+O176</f>
        <v>127204.39499999997</v>
      </c>
    </row>
    <row r="170" spans="1:15" ht="12.75">
      <c r="B170" s="38" t="s">
        <v>12</v>
      </c>
      <c r="C170" s="39" t="s">
        <v>143</v>
      </c>
      <c r="D170" s="675">
        <f t="shared" ref="D170:D177" si="34">SUM(F170:I170)</f>
        <v>360886</v>
      </c>
      <c r="E170" s="676"/>
      <c r="F170" s="676"/>
      <c r="G170" s="677">
        <f>SUM(G171:G173)</f>
        <v>45646</v>
      </c>
      <c r="H170" s="677">
        <f>SUM(H171:H173)</f>
        <v>178240</v>
      </c>
      <c r="I170" s="678">
        <f>SUM(I171:I173)</f>
        <v>137000</v>
      </c>
      <c r="J170" s="675">
        <f t="shared" ref="J170:J177" si="35">SUM(L170:O170)</f>
        <v>324951.47499999998</v>
      </c>
      <c r="K170" s="676"/>
      <c r="L170" s="676"/>
      <c r="M170" s="677">
        <f>SUM(M171:M173)</f>
        <v>36373.792999999998</v>
      </c>
      <c r="N170" s="677">
        <f>SUM(N171:N173)</f>
        <v>161371.27499999997</v>
      </c>
      <c r="O170" s="678">
        <f>SUM(O171:O173)</f>
        <v>127206.40699999998</v>
      </c>
    </row>
    <row r="171" spans="1:15" ht="12.75">
      <c r="B171" s="40" t="s">
        <v>144</v>
      </c>
      <c r="C171" s="41" t="s">
        <v>145</v>
      </c>
      <c r="D171" s="42">
        <f t="shared" si="34"/>
        <v>141000</v>
      </c>
      <c r="E171" s="43"/>
      <c r="F171" s="44"/>
      <c r="G171" s="45">
        <f>G31-G49-G61-G73-G85-G97-G78-G109-G121-G54-G66-G90-G102-G114-G126</f>
        <v>45646</v>
      </c>
      <c r="H171" s="45">
        <f>H31-H49-H61-H73-H85-H97-H78-H54-H109-H66-H90-H102-H114-H121-H126</f>
        <v>95354</v>
      </c>
      <c r="I171" s="46"/>
      <c r="J171" s="42">
        <f t="shared" si="35"/>
        <v>133631.72499999998</v>
      </c>
      <c r="K171" s="43"/>
      <c r="L171" s="44"/>
      <c r="M171" s="45">
        <f>M31-M49-M61-M73-M85-M97-M78-M109-M121-M54-M66-M90-M102-M114-M126</f>
        <v>36373.792999999998</v>
      </c>
      <c r="N171" s="45">
        <f>N31-N49-N61-N73-N85-N97-N78-N54-N109-N66-N90-N102-N114-N121-N126</f>
        <v>97257.931999999986</v>
      </c>
      <c r="O171" s="46"/>
    </row>
    <row r="172" spans="1:15" ht="12.75">
      <c r="B172" s="47" t="s">
        <v>146</v>
      </c>
      <c r="C172" s="48" t="s">
        <v>6</v>
      </c>
      <c r="D172" s="42">
        <f t="shared" si="34"/>
        <v>82886</v>
      </c>
      <c r="E172" s="43"/>
      <c r="F172" s="44"/>
      <c r="G172" s="49"/>
      <c r="H172" s="45">
        <f>H32-H50-H62-H74-H86-H98-H110-H55-H67-H79-H91-H103-H115-H122-H127</f>
        <v>82886</v>
      </c>
      <c r="I172" s="50">
        <f>I32-I50-I55-I62-I67-I74-I79-I86-I91-I98-I103-I110-I115-I122-I127</f>
        <v>0</v>
      </c>
      <c r="J172" s="42">
        <f t="shared" si="35"/>
        <v>64113.342999999993</v>
      </c>
      <c r="K172" s="43"/>
      <c r="L172" s="44"/>
      <c r="M172" s="49"/>
      <c r="N172" s="45">
        <f>N32-N50-N62-N74-N86-N98-N110-N55-N67-N79-N91-N103-N115-N122-N127</f>
        <v>64113.342999999993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>
        <f t="shared" si="34"/>
        <v>137000</v>
      </c>
      <c r="E173" s="54"/>
      <c r="F173" s="55"/>
      <c r="G173" s="56"/>
      <c r="H173" s="56"/>
      <c r="I173" s="57">
        <f>I33-I51-I87-I75-I99-I111-I56-I63-I68-I80-I92-I104-I116-I123-I128</f>
        <v>137000</v>
      </c>
      <c r="J173" s="53">
        <f t="shared" si="35"/>
        <v>127206.40699999998</v>
      </c>
      <c r="K173" s="54"/>
      <c r="L173" s="55"/>
      <c r="M173" s="56"/>
      <c r="N173" s="56"/>
      <c r="O173" s="57">
        <f>O33-O51-O87-O75-O99-O111-O56-O63-O68-O80-O92-O104-O116-O123-O128</f>
        <v>127206.40699999998</v>
      </c>
    </row>
    <row r="174" spans="1:15" ht="12.75">
      <c r="B174" s="58" t="s">
        <v>14</v>
      </c>
      <c r="C174" s="39" t="s">
        <v>148</v>
      </c>
      <c r="D174" s="110">
        <f t="shared" si="34"/>
        <v>201595</v>
      </c>
      <c r="E174" s="111"/>
      <c r="F174" s="111">
        <f>F28+E28</f>
        <v>165935</v>
      </c>
      <c r="G174" s="112">
        <f>G28</f>
        <v>32650</v>
      </c>
      <c r="H174" s="112">
        <f>H28</f>
        <v>3010</v>
      </c>
      <c r="I174" s="113">
        <f>I28</f>
        <v>0</v>
      </c>
      <c r="J174" s="110">
        <f t="shared" si="35"/>
        <v>210514.91199999998</v>
      </c>
      <c r="K174" s="111"/>
      <c r="L174" s="111">
        <f>L28+K28</f>
        <v>184584.74799999999</v>
      </c>
      <c r="M174" s="112">
        <f>M28</f>
        <v>23267.263999999999</v>
      </c>
      <c r="N174" s="112">
        <f>N28</f>
        <v>2662.9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>
        <f t="shared" si="34"/>
        <v>94575</v>
      </c>
      <c r="E175" s="124"/>
      <c r="F175" s="125">
        <f>F23+F24+F25+E23+E24+E25</f>
        <v>63015</v>
      </c>
      <c r="G175" s="125">
        <f>G23+G24+G25</f>
        <v>9930</v>
      </c>
      <c r="H175" s="125">
        <f>H23+H24+H25</f>
        <v>21630</v>
      </c>
      <c r="I175" s="126">
        <f>I23+I24+I25</f>
        <v>0</v>
      </c>
      <c r="J175" s="123">
        <f t="shared" si="35"/>
        <v>62504.504000000001</v>
      </c>
      <c r="K175" s="124"/>
      <c r="L175" s="125">
        <f>L23+L24+L25+K23+K24+K25</f>
        <v>30009.490000000005</v>
      </c>
      <c r="M175" s="125">
        <f>M23+M24+M25</f>
        <v>8435.3249999999989</v>
      </c>
      <c r="N175" s="125">
        <f>N23+N24+N25</f>
        <v>24061.701000000001</v>
      </c>
      <c r="O175" s="126">
        <f>O23+O24+O25</f>
        <v>-2.0119999999999996</v>
      </c>
    </row>
    <row r="176" spans="1:15" ht="13.5" thickBot="1">
      <c r="B176" s="61" t="s">
        <v>20</v>
      </c>
      <c r="C176" s="62" t="s">
        <v>150</v>
      </c>
      <c r="D176" s="129">
        <f t="shared" si="34"/>
        <v>1300</v>
      </c>
      <c r="E176" s="130"/>
      <c r="F176" s="131">
        <f>F29+E29</f>
        <v>0</v>
      </c>
      <c r="G176" s="131">
        <f>G29</f>
        <v>1300</v>
      </c>
      <c r="H176" s="131">
        <f>H29</f>
        <v>0</v>
      </c>
      <c r="I176" s="132">
        <f>I29</f>
        <v>0</v>
      </c>
      <c r="J176" s="129">
        <f t="shared" si="35"/>
        <v>0</v>
      </c>
      <c r="K176" s="130"/>
      <c r="L176" s="131">
        <f>L29+K29</f>
        <v>0</v>
      </c>
      <c r="M176" s="131">
        <f>M29</f>
        <v>0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34"/>
        <v>41099.999999999985</v>
      </c>
      <c r="E177" s="136"/>
      <c r="F177" s="136">
        <f>F169-F180-G171-H171</f>
        <v>6560</v>
      </c>
      <c r="G177" s="136">
        <f>G169-G180-H172-I172</f>
        <v>2570</v>
      </c>
      <c r="H177" s="136">
        <f>H169-H180-I173</f>
        <v>10420</v>
      </c>
      <c r="I177" s="137">
        <f>I169-I180</f>
        <v>21549.999999999985</v>
      </c>
      <c r="J177" s="135">
        <f t="shared" si="35"/>
        <v>75885.49099999998</v>
      </c>
      <c r="K177" s="136"/>
      <c r="L177" s="136">
        <f>L169-L180-M171-N171</f>
        <v>6504.9610000000248</v>
      </c>
      <c r="M177" s="136">
        <f>M169-M180-N172-O172</f>
        <v>2225.3810000000085</v>
      </c>
      <c r="N177" s="136">
        <f>N169-N180-O173</f>
        <v>9928.6239999999816</v>
      </c>
      <c r="O177" s="137">
        <f>O169-O180</f>
        <v>57226.524999999965</v>
      </c>
    </row>
    <row r="178" spans="1:15" ht="13.5" thickBot="1">
      <c r="B178" s="64"/>
      <c r="C178" s="65" t="s">
        <v>152</v>
      </c>
      <c r="D178" s="441">
        <f>IF(D169=0,0,D177/D169*100)</f>
        <v>13.816519312871881</v>
      </c>
      <c r="E178" s="140"/>
      <c r="F178" s="441">
        <f t="shared" ref="F178:I178" si="36">IF(F169=0,0,F177/F169*100)</f>
        <v>2.8652544223629612</v>
      </c>
      <c r="G178" s="441">
        <f t="shared" si="36"/>
        <v>2.8706744409445299</v>
      </c>
      <c r="H178" s="441">
        <f t="shared" si="36"/>
        <v>5.1360410094637228</v>
      </c>
      <c r="I178" s="441">
        <f t="shared" si="36"/>
        <v>15.72992700729926</v>
      </c>
      <c r="J178" s="441">
        <f>IF(J169=0,0,J177/J169*100)</f>
        <v>27.794906352008308</v>
      </c>
      <c r="K178" s="140"/>
      <c r="L178" s="441">
        <f t="shared" ref="L178:O178" si="37">IF(L169=0,0,L177/L169*100)</f>
        <v>3.0312840925393458</v>
      </c>
      <c r="M178" s="441">
        <f t="shared" si="37"/>
        <v>3.2689472246042817</v>
      </c>
      <c r="N178" s="441">
        <f t="shared" si="37"/>
        <v>5.2784910605908149</v>
      </c>
      <c r="O178" s="441">
        <f t="shared" si="37"/>
        <v>44.987852031370437</v>
      </c>
    </row>
    <row r="179" spans="1:15" ht="26.25" thickBot="1">
      <c r="B179" s="66" t="s">
        <v>38</v>
      </c>
      <c r="C179" s="67" t="s">
        <v>153</v>
      </c>
      <c r="D179" s="143">
        <f t="shared" ref="D179:D184" si="38">SUM(F179:I179)</f>
        <v>0</v>
      </c>
      <c r="E179" s="144"/>
      <c r="F179" s="144"/>
      <c r="G179" s="145"/>
      <c r="H179" s="145"/>
      <c r="I179" s="146"/>
      <c r="J179" s="143">
        <f t="shared" ref="J179:J184" si="39">SUM(L179:O179)</f>
        <v>0</v>
      </c>
      <c r="K179" s="144"/>
      <c r="L179" s="144"/>
      <c r="M179" s="145"/>
      <c r="N179" s="145"/>
      <c r="O179" s="146"/>
    </row>
    <row r="180" spans="1:15" s="83" customFormat="1" ht="13.5" thickBot="1">
      <c r="B180" s="147" t="s">
        <v>52</v>
      </c>
      <c r="C180" s="148" t="s">
        <v>154</v>
      </c>
      <c r="D180" s="143">
        <f t="shared" si="38"/>
        <v>256370</v>
      </c>
      <c r="E180" s="144"/>
      <c r="F180" s="682">
        <f>F143+E143</f>
        <v>81390</v>
      </c>
      <c r="G180" s="682">
        <f>G143+G194</f>
        <v>4070</v>
      </c>
      <c r="H180" s="682">
        <f>H143+H194</f>
        <v>55460</v>
      </c>
      <c r="I180" s="683">
        <f>I143+I194</f>
        <v>115450.00000000001</v>
      </c>
      <c r="J180" s="143">
        <f t="shared" si="39"/>
        <v>197133.92499999999</v>
      </c>
      <c r="K180" s="144"/>
      <c r="L180" s="682">
        <f>L143+K143</f>
        <v>74457.551999999996</v>
      </c>
      <c r="M180" s="682">
        <f>M143+M194</f>
        <v>1737.6579999999999</v>
      </c>
      <c r="N180" s="682">
        <f>N143+N194</f>
        <v>50960.845000000001</v>
      </c>
      <c r="O180" s="683">
        <f>O143+O194</f>
        <v>69977.87000000001</v>
      </c>
    </row>
    <row r="181" spans="1:15" ht="12.75">
      <c r="B181" s="70" t="s">
        <v>54</v>
      </c>
      <c r="C181" s="71" t="s">
        <v>155</v>
      </c>
      <c r="D181" s="151">
        <f t="shared" si="38"/>
        <v>0</v>
      </c>
      <c r="E181" s="152"/>
      <c r="F181" s="152"/>
      <c r="G181" s="153"/>
      <c r="H181" s="153"/>
      <c r="I181" s="154"/>
      <c r="J181" s="151">
        <f t="shared" si="39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8"/>
        <v>0</v>
      </c>
      <c r="E182" s="158"/>
      <c r="F182" s="159"/>
      <c r="G182" s="159"/>
      <c r="H182" s="159"/>
      <c r="I182" s="160"/>
      <c r="J182" s="157">
        <f t="shared" si="39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8"/>
        <v>0</v>
      </c>
      <c r="E183" s="164"/>
      <c r="F183" s="164"/>
      <c r="G183" s="165"/>
      <c r="H183" s="165"/>
      <c r="I183" s="166"/>
      <c r="J183" s="163">
        <f t="shared" si="39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8"/>
        <v>0</v>
      </c>
      <c r="E184" s="111"/>
      <c r="F184" s="111"/>
      <c r="G184" s="112"/>
      <c r="H184" s="112"/>
      <c r="I184" s="113"/>
      <c r="J184" s="110">
        <f t="shared" si="39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6" spans="1:15">
      <c r="E186" s="611"/>
    </row>
    <row r="188" spans="1:15" ht="12.75" customHeight="1">
      <c r="A188" s="832" t="s">
        <v>211</v>
      </c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61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483"/>
      <c r="B194" s="484"/>
      <c r="C194" s="483" t="s">
        <v>193</v>
      </c>
      <c r="D194" s="483"/>
      <c r="E194" s="483"/>
      <c r="F194" s="483"/>
      <c r="G194" s="483">
        <v>183.6</v>
      </c>
      <c r="H194" s="483">
        <v>978</v>
      </c>
      <c r="I194" s="483">
        <v>811.8</v>
      </c>
      <c r="J194" s="483"/>
      <c r="K194" s="483"/>
      <c r="L194" s="483"/>
      <c r="M194" s="483"/>
      <c r="N194" s="483">
        <v>248.833</v>
      </c>
      <c r="O194" s="483">
        <v>1507.1189999999999</v>
      </c>
    </row>
    <row r="195" spans="1:15">
      <c r="A195" s="483"/>
      <c r="B195" s="484"/>
      <c r="C195" s="483" t="s">
        <v>196</v>
      </c>
      <c r="D195" s="483"/>
      <c r="E195" s="483"/>
      <c r="F195" s="522">
        <v>9967.0772114954671</v>
      </c>
      <c r="G195" s="483"/>
      <c r="H195" s="483"/>
      <c r="I195" s="483"/>
      <c r="J195" s="483"/>
      <c r="K195" s="483"/>
      <c r="L195" s="513">
        <v>8818.5662700000012</v>
      </c>
      <c r="M195" s="483"/>
      <c r="N195" s="483"/>
      <c r="O195" s="483"/>
    </row>
    <row r="197" spans="1:15">
      <c r="N197" s="24"/>
      <c r="O197" s="24"/>
    </row>
    <row r="198" spans="1:15">
      <c r="L198" s="321"/>
      <c r="M198" s="321"/>
      <c r="N198" s="321"/>
      <c r="O198" s="321"/>
    </row>
  </sheetData>
  <mergeCells count="25"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  <mergeCell ref="A6:A29"/>
    <mergeCell ref="A30:A43"/>
    <mergeCell ref="I4:I5"/>
    <mergeCell ref="J4:J5"/>
    <mergeCell ref="K4:L4"/>
    <mergeCell ref="A188:O188"/>
    <mergeCell ref="D166:I166"/>
    <mergeCell ref="J166:O166"/>
    <mergeCell ref="A46:A150"/>
    <mergeCell ref="A151:A163"/>
    <mergeCell ref="B166:B167"/>
    <mergeCell ref="C166:C167"/>
  </mergeCells>
  <phoneticPr fontId="0" type="noConversion"/>
  <printOptions horizontalCentered="1"/>
  <pageMargins left="0.27559055118110237" right="0.27559055118110237" top="0.74803149606299213" bottom="0.55118110236220474" header="0.51181102362204722" footer="0.51181102362204722"/>
  <pageSetup paperSize="9" scale="63" firstPageNumber="0" orientation="landscape" horizontalDpi="300" verticalDpi="300" r:id="rId1"/>
  <headerFooter alignWithMargins="0"/>
  <rowBreaks count="2" manualBreakCount="2">
    <brk id="58" max="14" man="1"/>
    <brk id="118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206"/>
  <sheetViews>
    <sheetView view="pageBreakPreview" zoomScale="80" zoomScaleSheetLayoutView="80" workbookViewId="0">
      <pane xSplit="3" ySplit="5" topLeftCell="D36" activePane="bottomRight" state="frozen"/>
      <selection pane="topRight" activeCell="D1" sqref="D1"/>
      <selection pane="bottomLeft" activeCell="A63" sqref="A63"/>
      <selection pane="bottomRight" activeCell="D45" sqref="D45:O46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2.5703125" style="1" customWidth="1"/>
    <col min="5" max="5" width="10.5703125" style="1" customWidth="1"/>
    <col min="6" max="6" width="12.5703125" style="1" customWidth="1"/>
    <col min="7" max="7" width="11.140625" style="1" customWidth="1"/>
    <col min="8" max="8" width="13.28515625" style="1" customWidth="1"/>
    <col min="9" max="9" width="11.85546875" style="1" customWidth="1"/>
    <col min="10" max="10" width="13.42578125" style="1" customWidth="1"/>
    <col min="11" max="11" width="11.140625" style="1" customWidth="1"/>
    <col min="12" max="12" width="13.28515625" style="1" customWidth="1"/>
    <col min="13" max="13" width="10.7109375" style="1" customWidth="1"/>
    <col min="14" max="14" width="14.140625" style="1" customWidth="1"/>
    <col min="15" max="15" width="12.85546875" style="1" customWidth="1"/>
    <col min="16" max="16" width="16.140625" style="1" customWidth="1"/>
    <col min="17" max="17" width="10" style="1" customWidth="1"/>
    <col min="18" max="16384" width="9.140625" style="1"/>
  </cols>
  <sheetData>
    <row r="1" spans="1:15" ht="15.75">
      <c r="A1" s="817" t="s">
        <v>218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" customHeight="1" thickBot="1">
      <c r="A3" s="856"/>
      <c r="B3" s="857" t="s">
        <v>0</v>
      </c>
      <c r="C3" s="858" t="s">
        <v>1</v>
      </c>
      <c r="D3" s="824" t="s">
        <v>2</v>
      </c>
      <c r="E3" s="825"/>
      <c r="F3" s="825"/>
      <c r="G3" s="825"/>
      <c r="H3" s="825"/>
      <c r="I3" s="826"/>
      <c r="J3" s="827" t="s">
        <v>3</v>
      </c>
      <c r="K3" s="828"/>
      <c r="L3" s="828"/>
      <c r="M3" s="828"/>
      <c r="N3" s="828"/>
      <c r="O3" s="829"/>
    </row>
    <row r="4" spans="1:15" s="3" customFormat="1" ht="12.75" customHeight="1" thickTop="1" thickBot="1">
      <c r="A4" s="856"/>
      <c r="B4" s="857"/>
      <c r="C4" s="858"/>
      <c r="D4" s="830" t="s">
        <v>4</v>
      </c>
      <c r="E4" s="835" t="s">
        <v>5</v>
      </c>
      <c r="F4" s="835"/>
      <c r="G4" s="835" t="s">
        <v>6</v>
      </c>
      <c r="H4" s="835" t="s">
        <v>7</v>
      </c>
      <c r="I4" s="820" t="s">
        <v>8</v>
      </c>
      <c r="J4" s="831" t="s">
        <v>4</v>
      </c>
      <c r="K4" s="833" t="s">
        <v>5</v>
      </c>
      <c r="L4" s="834"/>
      <c r="M4" s="818" t="s">
        <v>6</v>
      </c>
      <c r="N4" s="818" t="s">
        <v>7</v>
      </c>
      <c r="O4" s="820" t="s">
        <v>8</v>
      </c>
    </row>
    <row r="5" spans="1:15" s="6" customFormat="1" ht="13.5" thickTop="1" thickBot="1">
      <c r="A5" s="856"/>
      <c r="B5" s="857"/>
      <c r="C5" s="858"/>
      <c r="D5" s="831"/>
      <c r="E5" s="86">
        <v>220</v>
      </c>
      <c r="F5" s="86">
        <v>110</v>
      </c>
      <c r="G5" s="818"/>
      <c r="H5" s="818"/>
      <c r="I5" s="846"/>
      <c r="J5" s="845"/>
      <c r="K5" s="87">
        <v>220</v>
      </c>
      <c r="L5" s="242">
        <v>110</v>
      </c>
      <c r="M5" s="819"/>
      <c r="N5" s="819"/>
      <c r="O5" s="821"/>
    </row>
    <row r="6" spans="1:15" ht="13.5" thickTop="1" thickBot="1">
      <c r="A6" s="862" t="s">
        <v>9</v>
      </c>
      <c r="B6" s="179" t="s">
        <v>10</v>
      </c>
      <c r="C6" s="179" t="s">
        <v>11</v>
      </c>
      <c r="D6" s="352">
        <f t="shared" ref="D6:O6" si="0">SUM(D7:D9,D12,D14)</f>
        <v>1942150</v>
      </c>
      <c r="E6" s="353">
        <f t="shared" si="0"/>
        <v>0</v>
      </c>
      <c r="F6" s="353">
        <f t="shared" si="0"/>
        <v>1570460</v>
      </c>
      <c r="G6" s="353">
        <f t="shared" si="0"/>
        <v>222370</v>
      </c>
      <c r="H6" s="353">
        <f t="shared" si="0"/>
        <v>149280</v>
      </c>
      <c r="I6" s="353">
        <f t="shared" si="0"/>
        <v>40</v>
      </c>
      <c r="J6" s="244">
        <f t="shared" si="0"/>
        <v>1800651.004</v>
      </c>
      <c r="K6" s="245">
        <f t="shared" si="0"/>
        <v>0</v>
      </c>
      <c r="L6" s="245">
        <f t="shared" si="0"/>
        <v>1494622.534</v>
      </c>
      <c r="M6" s="245">
        <f t="shared" si="0"/>
        <v>167592.21999999997</v>
      </c>
      <c r="N6" s="245">
        <f t="shared" si="0"/>
        <v>138409.26300000001</v>
      </c>
      <c r="O6" s="245">
        <f t="shared" si="0"/>
        <v>26.986999999999998</v>
      </c>
    </row>
    <row r="7" spans="1:15" ht="13.5" thickTop="1" thickBot="1">
      <c r="A7" s="862"/>
      <c r="B7" s="182" t="s">
        <v>12</v>
      </c>
      <c r="C7" s="182" t="s">
        <v>13</v>
      </c>
      <c r="D7" s="354">
        <f>SUM(E7:I7)</f>
        <v>0</v>
      </c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247">
        <f>SUM(K7:O7)</f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</row>
    <row r="8" spans="1:15" ht="13.5" thickTop="1" thickBot="1">
      <c r="A8" s="862"/>
      <c r="B8" s="182" t="s">
        <v>14</v>
      </c>
      <c r="C8" s="182" t="s">
        <v>15</v>
      </c>
      <c r="D8" s="354">
        <f>SUM(E8:I8)</f>
        <v>976665</v>
      </c>
      <c r="E8" s="356">
        <f>'1 квартал'!E8+апрель!E8</f>
        <v>0</v>
      </c>
      <c r="F8" s="356">
        <f>'1 квартал'!F8+апрель!F8</f>
        <v>775165</v>
      </c>
      <c r="G8" s="356">
        <f>'1 квартал'!G8+апрель!G8</f>
        <v>65110</v>
      </c>
      <c r="H8" s="356">
        <f>'1 квартал'!H8+апрель!H8</f>
        <v>136350</v>
      </c>
      <c r="I8" s="356">
        <f>'1 квартал'!I8+апрель!I8</f>
        <v>40</v>
      </c>
      <c r="J8" s="247">
        <f>SUM(K8:O8)</f>
        <v>759755.46600000001</v>
      </c>
      <c r="K8" s="356">
        <f>'1 квартал'!K8+апрель!K8</f>
        <v>0</v>
      </c>
      <c r="L8" s="356">
        <f>'1 квартал'!L8+апрель!L8</f>
        <v>578760.45700000005</v>
      </c>
      <c r="M8" s="356">
        <f>'1 квартал'!M8+апрель!M8</f>
        <v>53724.36</v>
      </c>
      <c r="N8" s="356">
        <f>'1 квартал'!N8+апрель!N8</f>
        <v>127243.66200000001</v>
      </c>
      <c r="O8" s="356">
        <f>'1 квартал'!O8+апрель!O8</f>
        <v>26.986999999999998</v>
      </c>
    </row>
    <row r="9" spans="1:15" ht="13.5" thickTop="1" thickBot="1">
      <c r="A9" s="862"/>
      <c r="B9" s="182" t="s">
        <v>16</v>
      </c>
      <c r="C9" s="182" t="s">
        <v>17</v>
      </c>
      <c r="D9" s="354">
        <f t="shared" ref="D9:O9" si="1">SUM(D10:D11)</f>
        <v>55050</v>
      </c>
      <c r="E9" s="355">
        <f t="shared" si="1"/>
        <v>0</v>
      </c>
      <c r="F9" s="355">
        <f t="shared" si="1"/>
        <v>55050</v>
      </c>
      <c r="G9" s="355">
        <f t="shared" si="1"/>
        <v>0</v>
      </c>
      <c r="H9" s="355">
        <f t="shared" si="1"/>
        <v>0</v>
      </c>
      <c r="I9" s="355">
        <f t="shared" si="1"/>
        <v>0</v>
      </c>
      <c r="J9" s="247">
        <f t="shared" si="1"/>
        <v>54837.710999999996</v>
      </c>
      <c r="K9" s="248">
        <f t="shared" si="1"/>
        <v>0</v>
      </c>
      <c r="L9" s="248">
        <f t="shared" si="1"/>
        <v>54837.710999999996</v>
      </c>
      <c r="M9" s="248">
        <f t="shared" si="1"/>
        <v>0</v>
      </c>
      <c r="N9" s="248">
        <f t="shared" si="1"/>
        <v>0</v>
      </c>
      <c r="O9" s="248">
        <f t="shared" si="1"/>
        <v>0</v>
      </c>
    </row>
    <row r="10" spans="1:15" ht="13.5" thickTop="1" thickBot="1">
      <c r="A10" s="862"/>
      <c r="B10" s="186" t="s">
        <v>18</v>
      </c>
      <c r="C10" s="187" t="s">
        <v>162</v>
      </c>
      <c r="D10" s="357">
        <f>SUM(F10:I10)</f>
        <v>50710</v>
      </c>
      <c r="E10" s="358"/>
      <c r="F10" s="356">
        <f>'1 квартал'!F10+апрель!F10</f>
        <v>50710</v>
      </c>
      <c r="G10" s="358"/>
      <c r="H10" s="358"/>
      <c r="I10" s="358"/>
      <c r="J10" s="251">
        <f>SUM(L10:O10)</f>
        <v>50257.574999999997</v>
      </c>
      <c r="K10" s="252"/>
      <c r="L10" s="356">
        <f>'1 квартал'!L10+апрель!L10</f>
        <v>50257.574999999997</v>
      </c>
      <c r="M10" s="252"/>
      <c r="N10" s="252"/>
      <c r="O10" s="252"/>
    </row>
    <row r="11" spans="1:15" ht="13.5" thickTop="1" thickBot="1">
      <c r="A11" s="862"/>
      <c r="B11" s="186" t="s">
        <v>19</v>
      </c>
      <c r="C11" s="187" t="s">
        <v>163</v>
      </c>
      <c r="D11" s="357">
        <f>SUM(F11:I11)</f>
        <v>4340</v>
      </c>
      <c r="E11" s="358"/>
      <c r="F11" s="356">
        <f>'1 квартал'!F11+апрель!F11</f>
        <v>4340</v>
      </c>
      <c r="G11" s="358"/>
      <c r="H11" s="358"/>
      <c r="I11" s="358"/>
      <c r="J11" s="251">
        <f>SUM(L11:O11)</f>
        <v>4580.1360000000004</v>
      </c>
      <c r="K11" s="252"/>
      <c r="L11" s="356">
        <f>'1 квартал'!L11+апрель!L11</f>
        <v>4580.1360000000004</v>
      </c>
      <c r="M11" s="252"/>
      <c r="N11" s="252"/>
      <c r="O11" s="252"/>
    </row>
    <row r="12" spans="1:15" ht="13.5" thickTop="1" thickBot="1">
      <c r="A12" s="862"/>
      <c r="B12" s="182" t="s">
        <v>20</v>
      </c>
      <c r="C12" s="182" t="s">
        <v>21</v>
      </c>
      <c r="D12" s="354">
        <f>SUM(E12:I12)</f>
        <v>901435</v>
      </c>
      <c r="E12" s="355"/>
      <c r="F12" s="356">
        <f>'1 квартал'!F12+апрель!F12</f>
        <v>740245</v>
      </c>
      <c r="G12" s="356">
        <f>'1 квартал'!G12+апрель!G12</f>
        <v>148260</v>
      </c>
      <c r="H12" s="356">
        <f>'1 квартал'!H12+апрель!H12</f>
        <v>12930</v>
      </c>
      <c r="I12" s="355"/>
      <c r="J12" s="247">
        <f>SUM(K12:O12)</f>
        <v>984282.027</v>
      </c>
      <c r="K12" s="248"/>
      <c r="L12" s="356">
        <f>'1 квартал'!L12+апрель!L12</f>
        <v>861024.36600000004</v>
      </c>
      <c r="M12" s="356">
        <f>'1 квартал'!M12+апрель!M12</f>
        <v>112092.06</v>
      </c>
      <c r="N12" s="356">
        <f>'1 квартал'!N12+апрель!N12</f>
        <v>11165.600999999999</v>
      </c>
      <c r="O12" s="248"/>
    </row>
    <row r="13" spans="1:15" ht="13.5" thickTop="1" thickBot="1">
      <c r="A13" s="862"/>
      <c r="B13" s="186" t="s">
        <v>22</v>
      </c>
      <c r="C13" s="187" t="s">
        <v>23</v>
      </c>
      <c r="D13" s="354">
        <f>SUM(E13:I13)</f>
        <v>0</v>
      </c>
      <c r="E13" s="355"/>
      <c r="F13" s="358"/>
      <c r="G13" s="358"/>
      <c r="H13" s="358"/>
      <c r="I13" s="358"/>
      <c r="J13" s="247">
        <f>SUM(K13:O13)</f>
        <v>0</v>
      </c>
      <c r="K13" s="248"/>
      <c r="L13" s="252"/>
      <c r="M13" s="252"/>
      <c r="N13" s="358"/>
      <c r="O13" s="252"/>
    </row>
    <row r="14" spans="1:15" ht="13.5" thickTop="1" thickBot="1">
      <c r="A14" s="862"/>
      <c r="B14" s="182" t="s">
        <v>24</v>
      </c>
      <c r="C14" s="182" t="s">
        <v>25</v>
      </c>
      <c r="D14" s="354">
        <f>SUM(E14:I14)</f>
        <v>9000</v>
      </c>
      <c r="E14" s="355"/>
      <c r="F14" s="355"/>
      <c r="G14" s="356">
        <f>'1 квартал'!G14+апрель!G14</f>
        <v>9000</v>
      </c>
      <c r="H14" s="355"/>
      <c r="I14" s="355"/>
      <c r="J14" s="247">
        <f>SUM(K14:O14)</f>
        <v>1775.7999999999993</v>
      </c>
      <c r="K14" s="248"/>
      <c r="L14" s="248"/>
      <c r="M14" s="356">
        <f>'1 квартал'!M14+апрель!M14</f>
        <v>1775.7999999999993</v>
      </c>
      <c r="N14" s="248"/>
      <c r="O14" s="248"/>
    </row>
    <row r="15" spans="1:15" ht="13.5" thickTop="1" thickBot="1">
      <c r="A15" s="862"/>
      <c r="B15" s="179" t="s">
        <v>26</v>
      </c>
      <c r="C15" s="179" t="s">
        <v>27</v>
      </c>
      <c r="D15" s="352">
        <f t="shared" ref="D15:O15" si="2">SUM(D16:D18,D21)</f>
        <v>506450</v>
      </c>
      <c r="E15" s="359">
        <f t="shared" si="2"/>
        <v>0</v>
      </c>
      <c r="F15" s="359">
        <f t="shared" si="2"/>
        <v>504630</v>
      </c>
      <c r="G15" s="359">
        <f t="shared" si="2"/>
        <v>1540</v>
      </c>
      <c r="H15" s="359">
        <f t="shared" si="2"/>
        <v>110</v>
      </c>
      <c r="I15" s="359">
        <f t="shared" si="2"/>
        <v>170</v>
      </c>
      <c r="J15" s="244">
        <f t="shared" si="2"/>
        <v>441548.886</v>
      </c>
      <c r="K15" s="253">
        <f t="shared" si="2"/>
        <v>0</v>
      </c>
      <c r="L15" s="253">
        <f t="shared" si="2"/>
        <v>440291.50099999999</v>
      </c>
      <c r="M15" s="253">
        <f t="shared" si="2"/>
        <v>987.4559999999999</v>
      </c>
      <c r="N15" s="253">
        <f t="shared" si="2"/>
        <v>149.44399999999999</v>
      </c>
      <c r="O15" s="253">
        <f t="shared" si="2"/>
        <v>120.48500000000001</v>
      </c>
    </row>
    <row r="16" spans="1:15" ht="13.5" thickTop="1" thickBot="1">
      <c r="A16" s="862"/>
      <c r="B16" s="182" t="s">
        <v>28</v>
      </c>
      <c r="C16" s="182" t="s">
        <v>29</v>
      </c>
      <c r="D16" s="354">
        <f>SUM(E16:I16)</f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247">
        <f>SUM(K16:O16)</f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</row>
    <row r="17" spans="1:15" ht="13.5" thickTop="1" thickBot="1">
      <c r="A17" s="862"/>
      <c r="B17" s="182" t="s">
        <v>30</v>
      </c>
      <c r="C17" s="182" t="s">
        <v>31</v>
      </c>
      <c r="D17" s="354">
        <f>SUM(E17:I17)</f>
        <v>485520</v>
      </c>
      <c r="E17" s="356">
        <f>'1 квартал'!E17+апрель!E17</f>
        <v>0</v>
      </c>
      <c r="F17" s="356">
        <f>'1 квартал'!F17+апрель!F17</f>
        <v>485240</v>
      </c>
      <c r="G17" s="356">
        <f>'1 квартал'!G17+апрель!G17</f>
        <v>0</v>
      </c>
      <c r="H17" s="356">
        <f>'1 квартал'!H17+апрель!H17</f>
        <v>110</v>
      </c>
      <c r="I17" s="356">
        <f>'1 квартал'!I17+апрель!I17</f>
        <v>170</v>
      </c>
      <c r="J17" s="247">
        <f>SUM(K17:O17)</f>
        <v>423378.02899999998</v>
      </c>
      <c r="K17" s="356">
        <f>'1 квартал'!K17+апрель!K17</f>
        <v>0</v>
      </c>
      <c r="L17" s="356">
        <f>'1 квартал'!L17+апрель!L17</f>
        <v>423107.80599999998</v>
      </c>
      <c r="M17" s="356">
        <f>'1 квартал'!M17+апрель!M17</f>
        <v>0.29400000000000004</v>
      </c>
      <c r="N17" s="356">
        <f>'1 квартал'!N17+апрель!N17</f>
        <v>149.44399999999999</v>
      </c>
      <c r="O17" s="356">
        <f>'1 квартал'!O17+апрель!O17</f>
        <v>120.48500000000001</v>
      </c>
    </row>
    <row r="18" spans="1:15" ht="13.5" thickTop="1" thickBot="1">
      <c r="A18" s="862"/>
      <c r="B18" s="182" t="s">
        <v>32</v>
      </c>
      <c r="C18" s="182" t="s">
        <v>33</v>
      </c>
      <c r="D18" s="354">
        <f t="shared" ref="D18:O18" si="3">SUM(D19:D20)</f>
        <v>12680</v>
      </c>
      <c r="E18" s="355">
        <f t="shared" si="3"/>
        <v>0</v>
      </c>
      <c r="F18" s="355">
        <f t="shared" si="3"/>
        <v>11930</v>
      </c>
      <c r="G18" s="355">
        <f t="shared" si="3"/>
        <v>750</v>
      </c>
      <c r="H18" s="355">
        <f t="shared" si="3"/>
        <v>0</v>
      </c>
      <c r="I18" s="355">
        <f t="shared" si="3"/>
        <v>0</v>
      </c>
      <c r="J18" s="247">
        <f t="shared" si="3"/>
        <v>13091.43</v>
      </c>
      <c r="K18" s="248">
        <f t="shared" si="3"/>
        <v>0</v>
      </c>
      <c r="L18" s="248">
        <f t="shared" si="3"/>
        <v>12479.971999999998</v>
      </c>
      <c r="M18" s="248">
        <f t="shared" si="3"/>
        <v>611.45799999999997</v>
      </c>
      <c r="N18" s="248">
        <f t="shared" si="3"/>
        <v>0</v>
      </c>
      <c r="O18" s="248">
        <f t="shared" si="3"/>
        <v>0</v>
      </c>
    </row>
    <row r="19" spans="1:15" ht="13.5" thickTop="1" thickBot="1">
      <c r="A19" s="862"/>
      <c r="B19" s="186" t="s">
        <v>34</v>
      </c>
      <c r="C19" s="187" t="s">
        <v>162</v>
      </c>
      <c r="D19" s="357">
        <f t="shared" ref="D19:D29" si="4">SUM(E19:I19)</f>
        <v>1470</v>
      </c>
      <c r="E19" s="358"/>
      <c r="F19" s="356">
        <f>'1 квартал'!F19+апрель!F19</f>
        <v>1470</v>
      </c>
      <c r="G19" s="358">
        <v>0</v>
      </c>
      <c r="H19" s="358"/>
      <c r="I19" s="358"/>
      <c r="J19" s="251">
        <f t="shared" ref="J19:J29" si="5">SUM(K19:O19)</f>
        <v>1326.7640000000001</v>
      </c>
      <c r="K19" s="252"/>
      <c r="L19" s="356">
        <f>'1 квартал'!L19+апрель!L19</f>
        <v>1326.7640000000001</v>
      </c>
      <c r="M19" s="252"/>
      <c r="N19" s="252"/>
      <c r="O19" s="252"/>
    </row>
    <row r="20" spans="1:15" ht="13.5" thickTop="1" thickBot="1">
      <c r="A20" s="862"/>
      <c r="B20" s="190" t="s">
        <v>35</v>
      </c>
      <c r="C20" s="187" t="s">
        <v>163</v>
      </c>
      <c r="D20" s="357">
        <f t="shared" si="4"/>
        <v>11210</v>
      </c>
      <c r="E20" s="358"/>
      <c r="F20" s="356">
        <f>'1 квартал'!F20+апрель!F20</f>
        <v>10460</v>
      </c>
      <c r="G20" s="356">
        <f>'1 квартал'!G20+апрель!G20</f>
        <v>750</v>
      </c>
      <c r="H20" s="358"/>
      <c r="I20" s="358"/>
      <c r="J20" s="251">
        <f t="shared" si="5"/>
        <v>11764.665999999999</v>
      </c>
      <c r="K20" s="252"/>
      <c r="L20" s="356">
        <f>'1 квартал'!L20+апрель!L20</f>
        <v>11153.207999999999</v>
      </c>
      <c r="M20" s="356">
        <f>'1 квартал'!M20+апрель!M20</f>
        <v>611.45799999999997</v>
      </c>
      <c r="N20" s="252"/>
      <c r="O20" s="252"/>
    </row>
    <row r="21" spans="1:15" ht="13.5" thickTop="1" thickBot="1">
      <c r="A21" s="862"/>
      <c r="B21" s="182" t="s">
        <v>36</v>
      </c>
      <c r="C21" s="182" t="s">
        <v>37</v>
      </c>
      <c r="D21" s="354">
        <f t="shared" si="4"/>
        <v>8250</v>
      </c>
      <c r="E21" s="355"/>
      <c r="F21" s="356">
        <f>'1 квартал'!F21+апрель!F21</f>
        <v>7460</v>
      </c>
      <c r="G21" s="356">
        <f>'1 квартал'!G21+апрель!G21</f>
        <v>790</v>
      </c>
      <c r="H21" s="355"/>
      <c r="I21" s="355"/>
      <c r="J21" s="247">
        <f t="shared" si="5"/>
        <v>5079.4269999999997</v>
      </c>
      <c r="K21" s="248"/>
      <c r="L21" s="356">
        <f>'1 квартал'!L21+апрель!L21</f>
        <v>4703.723</v>
      </c>
      <c r="M21" s="356">
        <f>'1 квартал'!M21+апрель!M21</f>
        <v>375.70400000000001</v>
      </c>
      <c r="N21" s="248"/>
      <c r="O21" s="248"/>
    </row>
    <row r="22" spans="1:15" s="17" customFormat="1" ht="13.5" thickTop="1" thickBot="1">
      <c r="A22" s="862"/>
      <c r="B22" s="232" t="s">
        <v>38</v>
      </c>
      <c r="C22" s="232" t="s">
        <v>39</v>
      </c>
      <c r="D22" s="361">
        <f t="shared" si="4"/>
        <v>1435700</v>
      </c>
      <c r="E22" s="361">
        <f>SUM(E23:E25,E28,E29)</f>
        <v>0</v>
      </c>
      <c r="F22" s="361">
        <f>SUM(F23:F25,F28,F29)</f>
        <v>1065830</v>
      </c>
      <c r="G22" s="361">
        <f>SUM(G23:G25,G28,G29)</f>
        <v>220830</v>
      </c>
      <c r="H22" s="361">
        <f>SUM(H23:H25,H28,H29)</f>
        <v>149170</v>
      </c>
      <c r="I22" s="361">
        <f>SUM(I23:I25,I28,I29)</f>
        <v>-130</v>
      </c>
      <c r="J22" s="256">
        <f t="shared" si="5"/>
        <v>1359102.118</v>
      </c>
      <c r="K22" s="256">
        <f>SUM(K23:K25,K28,K29)</f>
        <v>0</v>
      </c>
      <c r="L22" s="256">
        <f>SUM(L23:L25,L28,L29)</f>
        <v>1054331.0330000001</v>
      </c>
      <c r="M22" s="256">
        <f>SUM(M23:M25,M28,M29)</f>
        <v>166604.764</v>
      </c>
      <c r="N22" s="256">
        <f>SUM(N23:N25,N28,N29)</f>
        <v>138259.81900000002</v>
      </c>
      <c r="O22" s="256">
        <f>SUM(O23:O25,O28,O29)</f>
        <v>-93.498000000000019</v>
      </c>
    </row>
    <row r="23" spans="1:15" ht="13.5" thickTop="1" thickBot="1">
      <c r="A23" s="862"/>
      <c r="B23" s="182" t="s">
        <v>40</v>
      </c>
      <c r="C23" s="182" t="s">
        <v>41</v>
      </c>
      <c r="D23" s="354">
        <f t="shared" si="4"/>
        <v>0</v>
      </c>
      <c r="E23" s="354">
        <f t="shared" ref="E23:I28" si="6">E7-E16</f>
        <v>0</v>
      </c>
      <c r="F23" s="354">
        <f t="shared" si="6"/>
        <v>0</v>
      </c>
      <c r="G23" s="354">
        <f t="shared" si="6"/>
        <v>0</v>
      </c>
      <c r="H23" s="354">
        <f t="shared" si="6"/>
        <v>0</v>
      </c>
      <c r="I23" s="354">
        <f t="shared" si="6"/>
        <v>0</v>
      </c>
      <c r="J23" s="247">
        <f t="shared" si="5"/>
        <v>0</v>
      </c>
      <c r="K23" s="247">
        <f t="shared" ref="K23:O28" si="7">K7-K16</f>
        <v>0</v>
      </c>
      <c r="L23" s="247">
        <f t="shared" si="7"/>
        <v>0</v>
      </c>
      <c r="M23" s="247">
        <f t="shared" si="7"/>
        <v>0</v>
      </c>
      <c r="N23" s="247">
        <f t="shared" si="7"/>
        <v>0</v>
      </c>
      <c r="O23" s="247">
        <f t="shared" si="7"/>
        <v>0</v>
      </c>
    </row>
    <row r="24" spans="1:15" ht="13.5" thickTop="1" thickBot="1">
      <c r="A24" s="862"/>
      <c r="B24" s="182" t="s">
        <v>42</v>
      </c>
      <c r="C24" s="182" t="s">
        <v>43</v>
      </c>
      <c r="D24" s="354">
        <f t="shared" si="4"/>
        <v>491145</v>
      </c>
      <c r="E24" s="354">
        <f t="shared" si="6"/>
        <v>0</v>
      </c>
      <c r="F24" s="354">
        <f t="shared" si="6"/>
        <v>289925</v>
      </c>
      <c r="G24" s="354">
        <f t="shared" si="6"/>
        <v>65110</v>
      </c>
      <c r="H24" s="354">
        <f t="shared" si="6"/>
        <v>136240</v>
      </c>
      <c r="I24" s="354">
        <f t="shared" si="6"/>
        <v>-130</v>
      </c>
      <c r="J24" s="247">
        <f t="shared" si="5"/>
        <v>336377.43700000003</v>
      </c>
      <c r="K24" s="247">
        <f t="shared" si="7"/>
        <v>0</v>
      </c>
      <c r="L24" s="247">
        <f t="shared" si="7"/>
        <v>155652.65100000007</v>
      </c>
      <c r="M24" s="247">
        <f t="shared" si="7"/>
        <v>53724.065999999999</v>
      </c>
      <c r="N24" s="247">
        <f t="shared" si="7"/>
        <v>127094.21800000001</v>
      </c>
      <c r="O24" s="247">
        <f t="shared" si="7"/>
        <v>-93.498000000000019</v>
      </c>
    </row>
    <row r="25" spans="1:15" ht="13.5" thickTop="1" thickBot="1">
      <c r="A25" s="862"/>
      <c r="B25" s="182" t="s">
        <v>44</v>
      </c>
      <c r="C25" s="182" t="s">
        <v>45</v>
      </c>
      <c r="D25" s="354">
        <f t="shared" si="4"/>
        <v>42370</v>
      </c>
      <c r="E25" s="354">
        <f t="shared" si="6"/>
        <v>0</v>
      </c>
      <c r="F25" s="354">
        <f t="shared" si="6"/>
        <v>43120</v>
      </c>
      <c r="G25" s="354">
        <f t="shared" si="6"/>
        <v>-750</v>
      </c>
      <c r="H25" s="354">
        <f t="shared" si="6"/>
        <v>0</v>
      </c>
      <c r="I25" s="354">
        <f t="shared" si="6"/>
        <v>0</v>
      </c>
      <c r="J25" s="247">
        <f t="shared" si="5"/>
        <v>41746.281000000003</v>
      </c>
      <c r="K25" s="247">
        <f t="shared" si="7"/>
        <v>0</v>
      </c>
      <c r="L25" s="247">
        <f t="shared" si="7"/>
        <v>42357.739000000001</v>
      </c>
      <c r="M25" s="247">
        <f t="shared" si="7"/>
        <v>-611.45799999999997</v>
      </c>
      <c r="N25" s="247">
        <f t="shared" si="7"/>
        <v>0</v>
      </c>
      <c r="O25" s="247">
        <f t="shared" si="7"/>
        <v>0</v>
      </c>
    </row>
    <row r="26" spans="1:15" ht="13.5" thickTop="1" thickBot="1">
      <c r="A26" s="862"/>
      <c r="B26" s="186" t="s">
        <v>46</v>
      </c>
      <c r="C26" s="187" t="s">
        <v>162</v>
      </c>
      <c r="D26" s="354">
        <f t="shared" si="4"/>
        <v>49240</v>
      </c>
      <c r="E26" s="357">
        <f t="shared" si="6"/>
        <v>0</v>
      </c>
      <c r="F26" s="357">
        <f t="shared" si="6"/>
        <v>49240</v>
      </c>
      <c r="G26" s="357">
        <f t="shared" si="6"/>
        <v>0</v>
      </c>
      <c r="H26" s="357">
        <f t="shared" si="6"/>
        <v>0</v>
      </c>
      <c r="I26" s="357">
        <f t="shared" si="6"/>
        <v>0</v>
      </c>
      <c r="J26" s="247">
        <f t="shared" si="5"/>
        <v>48930.810999999994</v>
      </c>
      <c r="K26" s="251">
        <f t="shared" si="7"/>
        <v>0</v>
      </c>
      <c r="L26" s="251">
        <f t="shared" si="7"/>
        <v>48930.810999999994</v>
      </c>
      <c r="M26" s="251">
        <f t="shared" si="7"/>
        <v>0</v>
      </c>
      <c r="N26" s="251">
        <f t="shared" si="7"/>
        <v>0</v>
      </c>
      <c r="O26" s="251">
        <f t="shared" si="7"/>
        <v>0</v>
      </c>
    </row>
    <row r="27" spans="1:15" ht="13.5" thickTop="1" thickBot="1">
      <c r="A27" s="862"/>
      <c r="B27" s="186" t="s">
        <v>47</v>
      </c>
      <c r="C27" s="187" t="s">
        <v>163</v>
      </c>
      <c r="D27" s="354">
        <f t="shared" si="4"/>
        <v>-6870</v>
      </c>
      <c r="E27" s="357">
        <f t="shared" si="6"/>
        <v>0</v>
      </c>
      <c r="F27" s="357">
        <f t="shared" si="6"/>
        <v>-6120</v>
      </c>
      <c r="G27" s="357">
        <f t="shared" si="6"/>
        <v>-750</v>
      </c>
      <c r="H27" s="357">
        <f t="shared" si="6"/>
        <v>0</v>
      </c>
      <c r="I27" s="357">
        <f t="shared" si="6"/>
        <v>0</v>
      </c>
      <c r="J27" s="247">
        <f t="shared" si="5"/>
        <v>-7184.5299999999979</v>
      </c>
      <c r="K27" s="251">
        <f t="shared" si="7"/>
        <v>0</v>
      </c>
      <c r="L27" s="251">
        <f t="shared" si="7"/>
        <v>-6573.0719999999983</v>
      </c>
      <c r="M27" s="251">
        <f t="shared" si="7"/>
        <v>-611.45799999999997</v>
      </c>
      <c r="N27" s="251">
        <f t="shared" si="7"/>
        <v>0</v>
      </c>
      <c r="O27" s="251">
        <f t="shared" si="7"/>
        <v>0</v>
      </c>
    </row>
    <row r="28" spans="1:15" ht="13.5" thickTop="1" thickBot="1">
      <c r="A28" s="862"/>
      <c r="B28" s="182" t="s">
        <v>48</v>
      </c>
      <c r="C28" s="182" t="s">
        <v>49</v>
      </c>
      <c r="D28" s="354">
        <f t="shared" si="4"/>
        <v>893185</v>
      </c>
      <c r="E28" s="354">
        <f t="shared" si="6"/>
        <v>0</v>
      </c>
      <c r="F28" s="354">
        <f t="shared" si="6"/>
        <v>732785</v>
      </c>
      <c r="G28" s="354">
        <f t="shared" si="6"/>
        <v>147470</v>
      </c>
      <c r="H28" s="354">
        <f t="shared" si="6"/>
        <v>12930</v>
      </c>
      <c r="I28" s="354">
        <f t="shared" si="6"/>
        <v>0</v>
      </c>
      <c r="J28" s="247">
        <f t="shared" si="5"/>
        <v>979202.60000000009</v>
      </c>
      <c r="K28" s="247">
        <f t="shared" si="7"/>
        <v>0</v>
      </c>
      <c r="L28" s="247">
        <f t="shared" si="7"/>
        <v>856320.64300000004</v>
      </c>
      <c r="M28" s="247">
        <f t="shared" si="7"/>
        <v>111716.356</v>
      </c>
      <c r="N28" s="247">
        <f t="shared" si="7"/>
        <v>11165.600999999999</v>
      </c>
      <c r="O28" s="247">
        <f t="shared" si="7"/>
        <v>0</v>
      </c>
    </row>
    <row r="29" spans="1:15" ht="13.5" thickTop="1" thickBot="1">
      <c r="A29" s="862"/>
      <c r="B29" s="182" t="s">
        <v>50</v>
      </c>
      <c r="C29" s="182" t="s">
        <v>25</v>
      </c>
      <c r="D29" s="354">
        <f t="shared" si="4"/>
        <v>9000</v>
      </c>
      <c r="E29" s="354">
        <f>E14</f>
        <v>0</v>
      </c>
      <c r="F29" s="354">
        <f>F14</f>
        <v>0</v>
      </c>
      <c r="G29" s="354">
        <f>G14</f>
        <v>9000</v>
      </c>
      <c r="H29" s="354">
        <f>H14</f>
        <v>0</v>
      </c>
      <c r="I29" s="354">
        <f>I14</f>
        <v>0</v>
      </c>
      <c r="J29" s="247">
        <f t="shared" si="5"/>
        <v>1775.7999999999993</v>
      </c>
      <c r="K29" s="247">
        <f>K14</f>
        <v>0</v>
      </c>
      <c r="L29" s="247">
        <f>L14</f>
        <v>0</v>
      </c>
      <c r="M29" s="247">
        <f>M14</f>
        <v>1775.7999999999993</v>
      </c>
      <c r="N29" s="247">
        <f>N14</f>
        <v>0</v>
      </c>
      <c r="O29" s="247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362">
        <f>SUM(F30:I30)</f>
        <v>1738832</v>
      </c>
      <c r="E30" s="362"/>
      <c r="F30" s="362">
        <f>SUM(F31:F33)</f>
        <v>0</v>
      </c>
      <c r="G30" s="362">
        <f>SUM(G31:G33)</f>
        <v>219972</v>
      </c>
      <c r="H30" s="362">
        <f>SUM(H31:H33)</f>
        <v>914380</v>
      </c>
      <c r="I30" s="362">
        <f>SUM(I31:I33)</f>
        <v>604480</v>
      </c>
      <c r="J30" s="258">
        <f>SUM(L30:O30)</f>
        <v>1691380.5226</v>
      </c>
      <c r="K30" s="258"/>
      <c r="L30" s="258">
        <f>SUM(L31:L33)</f>
        <v>0</v>
      </c>
      <c r="M30" s="258">
        <f>SUM(M31:M33)</f>
        <v>214079.40499999997</v>
      </c>
      <c r="N30" s="258">
        <f>SUM(N31:N33)</f>
        <v>876523.31060000008</v>
      </c>
      <c r="O30" s="258">
        <f>SUM(O31:O33)</f>
        <v>600777.80700000003</v>
      </c>
    </row>
    <row r="31" spans="1:15" ht="13.5" thickTop="1" thickBot="1">
      <c r="A31" s="862"/>
      <c r="B31" s="182" t="s">
        <v>54</v>
      </c>
      <c r="C31" s="182" t="s">
        <v>55</v>
      </c>
      <c r="D31" s="354">
        <f t="shared" ref="D31:D43" si="8">SUM(E31:I31)</f>
        <v>733240</v>
      </c>
      <c r="E31" s="363"/>
      <c r="F31" s="364"/>
      <c r="G31" s="354">
        <f>F36</f>
        <v>219972</v>
      </c>
      <c r="H31" s="354">
        <f>F37</f>
        <v>513268</v>
      </c>
      <c r="I31" s="363"/>
      <c r="J31" s="247">
        <f t="shared" ref="J31:J43" si="9">SUM(K31:O31)</f>
        <v>745756.47160000005</v>
      </c>
      <c r="K31" s="259"/>
      <c r="L31" s="260"/>
      <c r="M31" s="247">
        <f>L36</f>
        <v>214079.40499999997</v>
      </c>
      <c r="N31" s="247">
        <f>L37</f>
        <v>531677.06660000002</v>
      </c>
      <c r="O31" s="259"/>
    </row>
    <row r="32" spans="1:15" ht="13.5" thickTop="1" thickBot="1">
      <c r="A32" s="862"/>
      <c r="B32" s="182" t="s">
        <v>56</v>
      </c>
      <c r="C32" s="182" t="s">
        <v>57</v>
      </c>
      <c r="D32" s="354">
        <f t="shared" si="8"/>
        <v>401112</v>
      </c>
      <c r="E32" s="363"/>
      <c r="F32" s="363"/>
      <c r="G32" s="363"/>
      <c r="H32" s="354">
        <f>G37</f>
        <v>401112</v>
      </c>
      <c r="I32" s="364">
        <f>G43</f>
        <v>0</v>
      </c>
      <c r="J32" s="247">
        <f t="shared" si="9"/>
        <v>344846.24400000006</v>
      </c>
      <c r="K32" s="259"/>
      <c r="L32" s="259"/>
      <c r="M32" s="259"/>
      <c r="N32" s="247">
        <f>M37</f>
        <v>344846.24400000006</v>
      </c>
      <c r="O32" s="260">
        <f>M43</f>
        <v>0</v>
      </c>
    </row>
    <row r="33" spans="1:15" ht="13.5" thickTop="1" thickBot="1">
      <c r="A33" s="862"/>
      <c r="B33" s="182" t="s">
        <v>58</v>
      </c>
      <c r="C33" s="182" t="s">
        <v>59</v>
      </c>
      <c r="D33" s="354">
        <f t="shared" si="8"/>
        <v>604480</v>
      </c>
      <c r="E33" s="363"/>
      <c r="F33" s="363"/>
      <c r="G33" s="363"/>
      <c r="H33" s="363"/>
      <c r="I33" s="354">
        <f>G38+H38</f>
        <v>604480</v>
      </c>
      <c r="J33" s="247">
        <f t="shared" si="9"/>
        <v>600777.80700000003</v>
      </c>
      <c r="K33" s="259"/>
      <c r="L33" s="259"/>
      <c r="M33" s="259"/>
      <c r="N33" s="259"/>
      <c r="O33" s="247">
        <f>M38+N38</f>
        <v>600777.80700000003</v>
      </c>
    </row>
    <row r="34" spans="1:15" ht="13.5" thickTop="1" thickBot="1">
      <c r="A34" s="862"/>
      <c r="B34" s="179" t="s">
        <v>60</v>
      </c>
      <c r="C34" s="179" t="s">
        <v>61</v>
      </c>
      <c r="D34" s="362">
        <f t="shared" si="8"/>
        <v>1738832</v>
      </c>
      <c r="E34" s="362"/>
      <c r="F34" s="362">
        <f>SUM(F35:F38)</f>
        <v>733240</v>
      </c>
      <c r="G34" s="362">
        <f>SUM(G35:G38)</f>
        <v>401112</v>
      </c>
      <c r="H34" s="362">
        <f>SUM(H35:H38)</f>
        <v>604480</v>
      </c>
      <c r="I34" s="285">
        <f>SUM(I35:I38)</f>
        <v>0</v>
      </c>
      <c r="J34" s="258">
        <f t="shared" si="9"/>
        <v>1691380.5226000003</v>
      </c>
      <c r="K34" s="258"/>
      <c r="L34" s="258">
        <f>SUM(L35:L38)</f>
        <v>745756.47160000005</v>
      </c>
      <c r="M34" s="258">
        <f>SUM(M35:M38)</f>
        <v>344846.24400000006</v>
      </c>
      <c r="N34" s="258">
        <f>SUM(N35:N38)</f>
        <v>600777.80700000003</v>
      </c>
      <c r="O34" s="261">
        <f>SUM(O35:O38)</f>
        <v>0</v>
      </c>
    </row>
    <row r="35" spans="1:15" ht="13.5" thickTop="1" thickBot="1">
      <c r="A35" s="862"/>
      <c r="B35" s="182" t="s">
        <v>62</v>
      </c>
      <c r="C35" s="182" t="s">
        <v>63</v>
      </c>
      <c r="D35" s="354">
        <f t="shared" si="8"/>
        <v>0</v>
      </c>
      <c r="E35" s="364"/>
      <c r="F35" s="363"/>
      <c r="G35" s="363"/>
      <c r="H35" s="363"/>
      <c r="I35" s="363"/>
      <c r="J35" s="247">
        <f t="shared" si="9"/>
        <v>0</v>
      </c>
      <c r="K35" s="260"/>
      <c r="L35" s="259"/>
      <c r="M35" s="259"/>
      <c r="N35" s="259"/>
      <c r="O35" s="259"/>
    </row>
    <row r="36" spans="1:15" ht="13.5" thickTop="1" thickBot="1">
      <c r="A36" s="862"/>
      <c r="B36" s="182" t="s">
        <v>64</v>
      </c>
      <c r="C36" s="182" t="s">
        <v>65</v>
      </c>
      <c r="D36" s="354">
        <f t="shared" si="8"/>
        <v>219972</v>
      </c>
      <c r="E36" s="354"/>
      <c r="F36" s="356">
        <f>'1 квартал'!F36+апрель!F36</f>
        <v>219972</v>
      </c>
      <c r="G36" s="259"/>
      <c r="H36" s="259"/>
      <c r="I36" s="363"/>
      <c r="J36" s="247">
        <f t="shared" si="9"/>
        <v>214079.40499999997</v>
      </c>
      <c r="K36" s="247"/>
      <c r="L36" s="333">
        <f>'1 квартал'!L36+апрель!L36</f>
        <v>214079.40499999997</v>
      </c>
      <c r="M36" s="259"/>
      <c r="N36" s="259"/>
      <c r="O36" s="259"/>
    </row>
    <row r="37" spans="1:15" ht="13.5" thickTop="1" thickBot="1">
      <c r="A37" s="862"/>
      <c r="B37" s="182" t="s">
        <v>66</v>
      </c>
      <c r="C37" s="182" t="s">
        <v>67</v>
      </c>
      <c r="D37" s="354">
        <f t="shared" si="8"/>
        <v>914380</v>
      </c>
      <c r="E37" s="354"/>
      <c r="F37" s="356">
        <f>'1 квартал'!F37+апрель!F37</f>
        <v>513268</v>
      </c>
      <c r="G37" s="356">
        <f>'1 квартал'!G37+апрель!G37</f>
        <v>401112</v>
      </c>
      <c r="H37" s="259"/>
      <c r="I37" s="363"/>
      <c r="J37" s="247">
        <f t="shared" si="9"/>
        <v>876523.31060000008</v>
      </c>
      <c r="K37" s="247"/>
      <c r="L37" s="333">
        <f>'1 квартал'!L37+апрель!L37</f>
        <v>531677.06660000002</v>
      </c>
      <c r="M37" s="333">
        <f>'1 квартал'!M37+апрель!M37</f>
        <v>344846.24400000006</v>
      </c>
      <c r="N37" s="259"/>
      <c r="O37" s="259"/>
    </row>
    <row r="38" spans="1:15" ht="13.5" thickTop="1" thickBot="1">
      <c r="A38" s="862"/>
      <c r="B38" s="182" t="s">
        <v>68</v>
      </c>
      <c r="C38" s="182" t="s">
        <v>69</v>
      </c>
      <c r="D38" s="354">
        <f t="shared" si="8"/>
        <v>604480</v>
      </c>
      <c r="E38" s="363"/>
      <c r="F38" s="259"/>
      <c r="G38" s="260"/>
      <c r="H38" s="356">
        <f>'1 квартал'!H38+апрель!H38</f>
        <v>604480</v>
      </c>
      <c r="I38" s="363"/>
      <c r="J38" s="247">
        <f t="shared" si="9"/>
        <v>600777.80700000003</v>
      </c>
      <c r="K38" s="259"/>
      <c r="L38" s="259"/>
      <c r="M38" s="260"/>
      <c r="N38" s="333">
        <f>'1 квартал'!N38+апрель!N38</f>
        <v>600777.80700000003</v>
      </c>
      <c r="O38" s="259"/>
    </row>
    <row r="39" spans="1:15" s="17" customFormat="1" ht="13.5" thickTop="1" thickBot="1">
      <c r="A39" s="862"/>
      <c r="B39" s="232" t="s">
        <v>70</v>
      </c>
      <c r="C39" s="232" t="s">
        <v>71</v>
      </c>
      <c r="D39" s="365">
        <f t="shared" si="8"/>
        <v>0</v>
      </c>
      <c r="E39" s="365"/>
      <c r="F39" s="365">
        <f>SUM(F40:F43)</f>
        <v>-733240</v>
      </c>
      <c r="G39" s="365">
        <f>SUM(G40:G43)</f>
        <v>-181140</v>
      </c>
      <c r="H39" s="365">
        <f>SUM(H40:H43)</f>
        <v>309900</v>
      </c>
      <c r="I39" s="365">
        <f>SUM(I40:I43)</f>
        <v>604480</v>
      </c>
      <c r="J39" s="262">
        <f t="shared" si="9"/>
        <v>0</v>
      </c>
      <c r="K39" s="262"/>
      <c r="L39" s="262">
        <f>SUM(L40:L43)</f>
        <v>-745756.47160000005</v>
      </c>
      <c r="M39" s="262">
        <f>SUM(M40:M43)</f>
        <v>-130766.83900000009</v>
      </c>
      <c r="N39" s="262">
        <f>SUM(N40:N43)</f>
        <v>275745.50360000005</v>
      </c>
      <c r="O39" s="262">
        <f>SUM(O40:O43)</f>
        <v>600777.80700000003</v>
      </c>
    </row>
    <row r="40" spans="1:15" ht="13.5" thickTop="1" thickBot="1">
      <c r="A40" s="862"/>
      <c r="B40" s="182" t="s">
        <v>72</v>
      </c>
      <c r="C40" s="182" t="s">
        <v>5</v>
      </c>
      <c r="D40" s="366">
        <f t="shared" si="8"/>
        <v>733240</v>
      </c>
      <c r="E40" s="367"/>
      <c r="F40" s="367">
        <f>F31-F35</f>
        <v>0</v>
      </c>
      <c r="G40" s="367">
        <f>G31-G35</f>
        <v>219972</v>
      </c>
      <c r="H40" s="367">
        <f>H31-H35</f>
        <v>513268</v>
      </c>
      <c r="I40" s="368"/>
      <c r="J40" s="264">
        <f t="shared" si="9"/>
        <v>745756.47160000005</v>
      </c>
      <c r="K40" s="265"/>
      <c r="L40" s="265">
        <f>L31-L35</f>
        <v>0</v>
      </c>
      <c r="M40" s="265">
        <f>M31-M35</f>
        <v>214079.40499999997</v>
      </c>
      <c r="N40" s="265">
        <f>N31-N35</f>
        <v>531677.06660000002</v>
      </c>
      <c r="O40" s="266"/>
    </row>
    <row r="41" spans="1:15" ht="13.5" thickTop="1" thickBot="1">
      <c r="A41" s="862"/>
      <c r="B41" s="182" t="s">
        <v>73</v>
      </c>
      <c r="C41" s="182" t="s">
        <v>74</v>
      </c>
      <c r="D41" s="366">
        <f t="shared" si="8"/>
        <v>181140</v>
      </c>
      <c r="E41" s="367">
        <f>E32-E36</f>
        <v>0</v>
      </c>
      <c r="F41" s="367">
        <f>F32-F36</f>
        <v>-219972</v>
      </c>
      <c r="G41" s="368"/>
      <c r="H41" s="367">
        <f>H32-H36</f>
        <v>401112</v>
      </c>
      <c r="I41" s="368"/>
      <c r="J41" s="264">
        <f t="shared" si="9"/>
        <v>130766.83900000009</v>
      </c>
      <c r="K41" s="265">
        <f>K32-K36</f>
        <v>0</v>
      </c>
      <c r="L41" s="265">
        <f>L32-L36</f>
        <v>-214079.40499999997</v>
      </c>
      <c r="M41" s="266"/>
      <c r="N41" s="265">
        <f>N32-N36</f>
        <v>344846.24400000006</v>
      </c>
      <c r="O41" s="266"/>
    </row>
    <row r="42" spans="1:15" ht="13.5" thickTop="1" thickBot="1">
      <c r="A42" s="862"/>
      <c r="B42" s="182" t="s">
        <v>75</v>
      </c>
      <c r="C42" s="182" t="s">
        <v>76</v>
      </c>
      <c r="D42" s="366">
        <f t="shared" si="8"/>
        <v>-309900</v>
      </c>
      <c r="E42" s="367">
        <f>E33-E37</f>
        <v>0</v>
      </c>
      <c r="F42" s="367">
        <f>F33-F37</f>
        <v>-513268</v>
      </c>
      <c r="G42" s="367">
        <f>G33-G37</f>
        <v>-401112</v>
      </c>
      <c r="H42" s="368"/>
      <c r="I42" s="367">
        <f>I33-I37</f>
        <v>604480</v>
      </c>
      <c r="J42" s="264">
        <f t="shared" si="9"/>
        <v>-275745.50360000005</v>
      </c>
      <c r="K42" s="265">
        <f>K33-K37</f>
        <v>0</v>
      </c>
      <c r="L42" s="265">
        <f>L33-L37</f>
        <v>-531677.06660000002</v>
      </c>
      <c r="M42" s="265">
        <f>M33-M37</f>
        <v>-344846.24400000006</v>
      </c>
      <c r="N42" s="266"/>
      <c r="O42" s="265">
        <f>O33-O37</f>
        <v>600777.80700000003</v>
      </c>
    </row>
    <row r="43" spans="1:15" ht="13.5" thickTop="1" thickBot="1">
      <c r="A43" s="862"/>
      <c r="B43" s="199" t="s">
        <v>77</v>
      </c>
      <c r="C43" s="199" t="s">
        <v>8</v>
      </c>
      <c r="D43" s="367">
        <f t="shared" si="8"/>
        <v>-604480</v>
      </c>
      <c r="E43" s="368"/>
      <c r="F43" s="368"/>
      <c r="G43" s="367"/>
      <c r="H43" s="367">
        <f>-H38</f>
        <v>-604480</v>
      </c>
      <c r="I43" s="368"/>
      <c r="J43" s="265">
        <f t="shared" si="9"/>
        <v>-600777.80700000003</v>
      </c>
      <c r="K43" s="266"/>
      <c r="L43" s="266"/>
      <c r="M43" s="265"/>
      <c r="N43" s="265">
        <f>-N38</f>
        <v>-600777.80700000003</v>
      </c>
      <c r="O43" s="266"/>
    </row>
    <row r="44" spans="1:15" ht="13.5" thickTop="1" thickBot="1">
      <c r="A44" s="177"/>
      <c r="B44" s="200" t="s">
        <v>78</v>
      </c>
      <c r="C44" s="200" t="s">
        <v>79</v>
      </c>
      <c r="D44" s="201">
        <f>D22</f>
        <v>1435700</v>
      </c>
      <c r="E44" s="201">
        <f>E22+E30</f>
        <v>0</v>
      </c>
      <c r="F44" s="201">
        <f>F22+F30</f>
        <v>1065830</v>
      </c>
      <c r="G44" s="201">
        <f>G22+G30</f>
        <v>440802</v>
      </c>
      <c r="H44" s="201">
        <f>H22+H30</f>
        <v>1063550</v>
      </c>
      <c r="I44" s="201">
        <f>I22+I30</f>
        <v>604350</v>
      </c>
      <c r="J44" s="201">
        <f>J22</f>
        <v>1359102.118</v>
      </c>
      <c r="K44" s="201">
        <f>K22+K30</f>
        <v>0</v>
      </c>
      <c r="L44" s="201">
        <f>L22+L30</f>
        <v>1054331.0330000001</v>
      </c>
      <c r="M44" s="201">
        <f>M22+M30</f>
        <v>380684.16899999999</v>
      </c>
      <c r="N44" s="201">
        <f>N22+N30</f>
        <v>1014783.1296000001</v>
      </c>
      <c r="O44" s="201">
        <f>O22+O30</f>
        <v>600684.30900000001</v>
      </c>
    </row>
    <row r="45" spans="1:15" ht="13.5" thickTop="1" thickBot="1">
      <c r="A45" s="177"/>
      <c r="B45" s="202" t="s">
        <v>80</v>
      </c>
      <c r="C45" s="202" t="s">
        <v>81</v>
      </c>
      <c r="D45" s="203">
        <f>D44</f>
        <v>1435700</v>
      </c>
      <c r="E45" s="203">
        <f>E143+E151+E34</f>
        <v>0</v>
      </c>
      <c r="F45" s="203">
        <f>F143+F151+F34-G49-H49-G73-H73-G78-H78-H54-H97-H109-G97-G102-H102-G109-G114-H114-G121-H121-G126-H126-G133-H133</f>
        <v>1065830</v>
      </c>
      <c r="G45" s="203">
        <f>G143+G151+G34-H50-I50-H55-I55-H62-I62-H67-I67-H98-H74-H79-H86-H91-H103-H110-H115-H122-H127-H134</f>
        <v>426350.9</v>
      </c>
      <c r="H45" s="203">
        <f>H143+H151+H34-I51-I56-I63-I68-I75-I80-I87-I92-I99-I104-I111-I116-I123-I128</f>
        <v>973270.1</v>
      </c>
      <c r="I45" s="203">
        <f>I151+I143</f>
        <v>598870.30000000005</v>
      </c>
      <c r="J45" s="203">
        <f>J44</f>
        <v>1359102.118</v>
      </c>
      <c r="K45" s="203">
        <f>K143+K151+K34</f>
        <v>0</v>
      </c>
      <c r="L45" s="203">
        <f>L143+L151+L34-M49-N49-M73-N73-M78-N78-N54-N97-N109-M97-M102-N102-M109-M114-N114-M121-N121-M126-N126-M133-N133</f>
        <v>1054331.0330000001</v>
      </c>
      <c r="M45" s="203">
        <f>M143+M151+M34-N50-O50-N55-O55-N62-O62-N67-O67-N98-N74-N79-N86-N91-N103-N110-N115-N122-N127-N134</f>
        <v>367459.61600000004</v>
      </c>
      <c r="N45" s="203">
        <f>N143+N151+N34-O51-O56-O63-O68-O75-O80-O87-O92-O99-O104-O111-O116-O123-O128</f>
        <v>919805.37460000021</v>
      </c>
      <c r="O45" s="203">
        <f>O151+O143</f>
        <v>594672.82299999997</v>
      </c>
    </row>
    <row r="46" spans="1:15" ht="13.5" thickTop="1" thickBot="1">
      <c r="A46" s="862" t="s">
        <v>82</v>
      </c>
      <c r="B46" s="179" t="s">
        <v>83</v>
      </c>
      <c r="C46" s="179" t="s">
        <v>84</v>
      </c>
      <c r="D46" s="181">
        <f>SUM(E46:I46)</f>
        <v>1147830</v>
      </c>
      <c r="E46" s="322">
        <f>E47+E59+E71+E83+E95</f>
        <v>0</v>
      </c>
      <c r="F46" s="322">
        <f>F47+F59+F71+F83+F95+F107+F119+F131</f>
        <v>286810</v>
      </c>
      <c r="G46" s="322">
        <f>G47+G59+G71+G83+G95+G107+G119+G131</f>
        <v>17720</v>
      </c>
      <c r="H46" s="322">
        <f>H47+H59+H71+H83+H95+H107+H119+H131</f>
        <v>376190</v>
      </c>
      <c r="I46" s="322">
        <f>I47+I59+I71+I83+I95+I107+I119+I131</f>
        <v>467110</v>
      </c>
      <c r="J46" s="181">
        <f>SUM(K46:O46)</f>
        <v>1020260.6070000001</v>
      </c>
      <c r="K46" s="322">
        <f>K47+K59+K71+K83+K95</f>
        <v>0</v>
      </c>
      <c r="L46" s="322">
        <f>L47+L59+L71+L83+L95+L107+L119+L131</f>
        <v>264057.56</v>
      </c>
      <c r="M46" s="322">
        <f>M47+M59+M71+M83+M95+M107+M119+M131</f>
        <v>17207.308000000001</v>
      </c>
      <c r="N46" s="322">
        <f>N47+N59+N71+N83+N95+N107+N119+N131</f>
        <v>337495.56999999995</v>
      </c>
      <c r="O46" s="322">
        <f>O47+O59+O71+O83+O95+O107+O119+O131</f>
        <v>401500.16900000005</v>
      </c>
    </row>
    <row r="47" spans="1:15" s="3" customFormat="1" ht="13.5" thickTop="1" thickBot="1">
      <c r="A47" s="862"/>
      <c r="B47" s="270" t="s">
        <v>85</v>
      </c>
      <c r="C47" s="271" t="s">
        <v>86</v>
      </c>
      <c r="D47" s="369">
        <f t="shared" ref="D47:D77" si="10">SUM(E47:I47)</f>
        <v>815740</v>
      </c>
      <c r="E47" s="356">
        <f>'1 квартал'!E47+апрель!E47</f>
        <v>0</v>
      </c>
      <c r="F47" s="356">
        <f>'1 квартал'!F47+апрель!F47</f>
        <v>3270</v>
      </c>
      <c r="G47" s="356">
        <f>'1 квартал'!G47+апрель!G47</f>
        <v>4640</v>
      </c>
      <c r="H47" s="356">
        <f>'1 квартал'!H47+апрель!H47</f>
        <v>342980</v>
      </c>
      <c r="I47" s="356">
        <f>'1 квартал'!I47+апрель!I47</f>
        <v>464850</v>
      </c>
      <c r="J47" s="272">
        <f t="shared" ref="J47:J76" si="11">SUM(K47:O47)</f>
        <v>724577.96600000001</v>
      </c>
      <c r="K47" s="356">
        <f>'1 квартал'!K47+апрель!K47</f>
        <v>0</v>
      </c>
      <c r="L47" s="356">
        <f>'1 квартал'!L47+апрель!L47</f>
        <v>7556.0030000000015</v>
      </c>
      <c r="M47" s="356">
        <f>'1 квартал'!M47+апрель!M47</f>
        <v>3982.7550000000001</v>
      </c>
      <c r="N47" s="356">
        <f>'1 квартал'!N47+апрель!N47</f>
        <v>313994.19500000001</v>
      </c>
      <c r="O47" s="356">
        <f>'1 квартал'!O47+апрель!O47</f>
        <v>399045.01300000004</v>
      </c>
    </row>
    <row r="48" spans="1:15" ht="13.5" thickTop="1" thickBot="1">
      <c r="A48" s="862"/>
      <c r="B48" s="263" t="s">
        <v>87</v>
      </c>
      <c r="C48" s="263" t="s">
        <v>88</v>
      </c>
      <c r="D48" s="367">
        <f t="shared" si="10"/>
        <v>0</v>
      </c>
      <c r="E48" s="367"/>
      <c r="F48" s="367"/>
      <c r="G48" s="367"/>
      <c r="H48" s="367"/>
      <c r="I48" s="367"/>
      <c r="J48" s="265">
        <f t="shared" si="11"/>
        <v>0</v>
      </c>
      <c r="K48" s="265"/>
      <c r="L48" s="265"/>
      <c r="M48" s="265"/>
      <c r="N48" s="265"/>
      <c r="O48" s="265"/>
    </row>
    <row r="49" spans="1:15" ht="13.5" thickTop="1" thickBot="1">
      <c r="A49" s="862"/>
      <c r="B49" s="275"/>
      <c r="C49" s="276" t="s">
        <v>89</v>
      </c>
      <c r="D49" s="371">
        <f t="shared" si="10"/>
        <v>45900</v>
      </c>
      <c r="E49" s="372"/>
      <c r="F49" s="372"/>
      <c r="G49" s="371"/>
      <c r="H49" s="356">
        <f>'1 квартал'!H49+апрель!H49</f>
        <v>45900</v>
      </c>
      <c r="I49" s="372"/>
      <c r="J49" s="277">
        <f t="shared" si="11"/>
        <v>58259.175999999999</v>
      </c>
      <c r="K49" s="278"/>
      <c r="L49" s="278"/>
      <c r="M49" s="277"/>
      <c r="N49" s="356">
        <f>'1 квартал'!N49+апрель!N49</f>
        <v>58259.175999999999</v>
      </c>
      <c r="O49" s="278"/>
    </row>
    <row r="50" spans="1:15" ht="13.5" thickTop="1" thickBot="1">
      <c r="A50" s="862"/>
      <c r="B50" s="275"/>
      <c r="C50" s="276" t="s">
        <v>90</v>
      </c>
      <c r="D50" s="371">
        <f t="shared" si="10"/>
        <v>6600</v>
      </c>
      <c r="E50" s="372"/>
      <c r="F50" s="372"/>
      <c r="G50" s="372"/>
      <c r="H50" s="356">
        <f>'1 квартал'!H50+апрель!H50</f>
        <v>6600</v>
      </c>
      <c r="I50" s="371"/>
      <c r="J50" s="277">
        <f t="shared" si="11"/>
        <v>2285.7669999999998</v>
      </c>
      <c r="K50" s="278"/>
      <c r="L50" s="278"/>
      <c r="M50" s="278"/>
      <c r="N50" s="356">
        <f>'1 квартал'!N50+апрель!N50</f>
        <v>2285.7669999999998</v>
      </c>
      <c r="O50" s="277"/>
    </row>
    <row r="51" spans="1:15" ht="13.5" thickTop="1" thickBot="1">
      <c r="A51" s="862"/>
      <c r="B51" s="275"/>
      <c r="C51" s="276" t="s">
        <v>91</v>
      </c>
      <c r="D51" s="371">
        <f t="shared" si="10"/>
        <v>0</v>
      </c>
      <c r="E51" s="372"/>
      <c r="F51" s="372"/>
      <c r="G51" s="372"/>
      <c r="H51" s="372"/>
      <c r="I51" s="371"/>
      <c r="J51" s="277">
        <f t="shared" si="11"/>
        <v>0</v>
      </c>
      <c r="K51" s="278"/>
      <c r="L51" s="278"/>
      <c r="M51" s="278"/>
      <c r="N51" s="278"/>
      <c r="O51" s="277"/>
    </row>
    <row r="52" spans="1:15" ht="13.5" thickTop="1" thickBot="1">
      <c r="A52" s="862"/>
      <c r="B52" s="263" t="s">
        <v>92</v>
      </c>
      <c r="C52" s="263" t="s">
        <v>93</v>
      </c>
      <c r="D52" s="367">
        <f t="shared" si="10"/>
        <v>0</v>
      </c>
      <c r="E52" s="367"/>
      <c r="F52" s="356">
        <f>'1 квартал'!F52+апрель!F52</f>
        <v>0</v>
      </c>
      <c r="G52" s="356">
        <f>'1 квартал'!G52+апрель!G52</f>
        <v>0</v>
      </c>
      <c r="H52" s="356">
        <f>'1 квартал'!H52+апрель!H52</f>
        <v>0</v>
      </c>
      <c r="I52" s="356">
        <f>'1 квартал'!I52+апрель!I52</f>
        <v>0</v>
      </c>
      <c r="J52" s="265">
        <f t="shared" si="11"/>
        <v>0</v>
      </c>
      <c r="K52" s="387"/>
      <c r="L52" s="356">
        <f>'1 квартал'!L52+апрель!L52</f>
        <v>0</v>
      </c>
      <c r="M52" s="465">
        <f>'1 квартал'!M52+апрель!M52</f>
        <v>0</v>
      </c>
      <c r="N52" s="465">
        <f>'1 квартал'!N52+апрель!N52</f>
        <v>0</v>
      </c>
      <c r="O52" s="356">
        <f>'1 квартал'!O52+апрель!O52</f>
        <v>0</v>
      </c>
    </row>
    <row r="53" spans="1:15" ht="13.5" thickTop="1" thickBot="1">
      <c r="A53" s="862"/>
      <c r="B53" s="263" t="s">
        <v>94</v>
      </c>
      <c r="C53" s="263" t="s">
        <v>95</v>
      </c>
      <c r="D53" s="374">
        <f t="shared" si="10"/>
        <v>93714</v>
      </c>
      <c r="E53" s="376"/>
      <c r="F53" s="376"/>
      <c r="G53" s="356">
        <f>'1 квартал'!G53+апрель!G53</f>
        <v>4081</v>
      </c>
      <c r="H53" s="356">
        <f>'1 квартал'!H53+апрель!H53</f>
        <v>89633</v>
      </c>
      <c r="I53" s="367"/>
      <c r="J53" s="280">
        <f t="shared" si="11"/>
        <v>81314.67</v>
      </c>
      <c r="K53" s="238"/>
      <c r="L53" s="238"/>
      <c r="M53" s="356">
        <f>'1 квартал'!M53+апрель!M53</f>
        <v>3982.7550000000001</v>
      </c>
      <c r="N53" s="356">
        <f>'1 квартал'!N53+апрель!N53</f>
        <v>77304.928</v>
      </c>
      <c r="O53" s="356">
        <f>'1 квартал'!O53+апрель!O53</f>
        <v>26.986999999999998</v>
      </c>
    </row>
    <row r="54" spans="1:15" ht="13.5" thickTop="1" thickBot="1">
      <c r="A54" s="862"/>
      <c r="B54" s="275"/>
      <c r="C54" s="276" t="s">
        <v>89</v>
      </c>
      <c r="D54" s="371">
        <f t="shared" si="10"/>
        <v>5000</v>
      </c>
      <c r="E54" s="377"/>
      <c r="F54" s="377"/>
      <c r="G54" s="376"/>
      <c r="H54" s="356">
        <f>'1 квартал'!H54+апрель!H54</f>
        <v>5000</v>
      </c>
      <c r="I54" s="372"/>
      <c r="J54" s="277">
        <f t="shared" si="11"/>
        <v>16609.097000000002</v>
      </c>
      <c r="K54" s="282"/>
      <c r="L54" s="282"/>
      <c r="M54" s="238"/>
      <c r="N54" s="356">
        <f>'1 квартал'!N54+апрель!N54</f>
        <v>16609.097000000002</v>
      </c>
      <c r="O54" s="278"/>
    </row>
    <row r="55" spans="1:15" ht="13.5" thickTop="1" thickBot="1">
      <c r="A55" s="862"/>
      <c r="B55" s="275"/>
      <c r="C55" s="276" t="s">
        <v>90</v>
      </c>
      <c r="D55" s="371">
        <f t="shared" si="10"/>
        <v>0</v>
      </c>
      <c r="E55" s="372"/>
      <c r="F55" s="372"/>
      <c r="G55" s="372"/>
      <c r="H55" s="371"/>
      <c r="I55" s="371"/>
      <c r="J55" s="277">
        <f t="shared" si="11"/>
        <v>0</v>
      </c>
      <c r="K55" s="278"/>
      <c r="L55" s="278"/>
      <c r="M55" s="278"/>
      <c r="N55" s="277"/>
      <c r="O55" s="277"/>
    </row>
    <row r="56" spans="1:15" ht="13.5" thickTop="1" thickBot="1">
      <c r="A56" s="862"/>
      <c r="B56" s="275"/>
      <c r="C56" s="276" t="s">
        <v>91</v>
      </c>
      <c r="D56" s="371">
        <f t="shared" si="10"/>
        <v>0</v>
      </c>
      <c r="E56" s="372"/>
      <c r="F56" s="372"/>
      <c r="G56" s="372"/>
      <c r="H56" s="372"/>
      <c r="I56" s="371"/>
      <c r="J56" s="277">
        <f t="shared" si="11"/>
        <v>0</v>
      </c>
      <c r="K56" s="278"/>
      <c r="L56" s="278"/>
      <c r="M56" s="278"/>
      <c r="N56" s="278"/>
      <c r="O56" s="277"/>
    </row>
    <row r="57" spans="1:15" ht="13.5" thickTop="1" thickBot="1">
      <c r="A57" s="862"/>
      <c r="B57" s="263" t="s">
        <v>96</v>
      </c>
      <c r="C57" s="263" t="s">
        <v>97</v>
      </c>
      <c r="D57" s="367">
        <f t="shared" si="10"/>
        <v>3590</v>
      </c>
      <c r="E57" s="367"/>
      <c r="F57" s="367"/>
      <c r="G57" s="367"/>
      <c r="H57" s="356">
        <f>'1 квартал'!H57+апрель!H57</f>
        <v>3590</v>
      </c>
      <c r="I57" s="367"/>
      <c r="J57" s="265">
        <f t="shared" si="11"/>
        <v>3132.7388249999999</v>
      </c>
      <c r="K57" s="265"/>
      <c r="L57" s="265"/>
      <c r="M57" s="265"/>
      <c r="N57" s="356">
        <f>'1 квартал'!N57+апрель!N57</f>
        <v>3132.7388249999999</v>
      </c>
      <c r="O57" s="265"/>
    </row>
    <row r="58" spans="1:15" ht="13.5" thickTop="1" thickBot="1">
      <c r="A58" s="862"/>
      <c r="B58" s="263" t="s">
        <v>98</v>
      </c>
      <c r="C58" s="263" t="s">
        <v>99</v>
      </c>
      <c r="D58" s="367">
        <f t="shared" si="10"/>
        <v>0</v>
      </c>
      <c r="E58" s="367"/>
      <c r="F58" s="367"/>
      <c r="G58" s="367"/>
      <c r="H58" s="323"/>
      <c r="I58" s="367"/>
      <c r="J58" s="265">
        <f t="shared" si="11"/>
        <v>0</v>
      </c>
      <c r="K58" s="265"/>
      <c r="L58" s="265"/>
      <c r="M58" s="265"/>
      <c r="N58" s="283"/>
      <c r="O58" s="265"/>
    </row>
    <row r="59" spans="1:15" ht="13.5" thickTop="1" thickBot="1">
      <c r="A59" s="862"/>
      <c r="B59" s="204" t="s">
        <v>171</v>
      </c>
      <c r="C59" s="205" t="s">
        <v>190</v>
      </c>
      <c r="D59" s="325">
        <f t="shared" si="10"/>
        <v>12020</v>
      </c>
      <c r="E59" s="356">
        <f>'1 квартал'!E59+апрель!E59</f>
        <v>0</v>
      </c>
      <c r="F59" s="356">
        <f>'1 квартал'!F59+апрель!F59</f>
        <v>8290</v>
      </c>
      <c r="G59" s="284"/>
      <c r="H59" s="356">
        <f>'1 квартал'!H59+апрель!H59</f>
        <v>1470</v>
      </c>
      <c r="I59" s="356">
        <f>'1 квартал'!I59+апрель!I59</f>
        <v>2260</v>
      </c>
      <c r="J59" s="206">
        <f t="shared" si="11"/>
        <v>10522.808000000001</v>
      </c>
      <c r="K59" s="356">
        <f>'1 квартал'!K59+апрель!K59</f>
        <v>0</v>
      </c>
      <c r="L59" s="356">
        <f>'1 квартал'!L59+апрель!L59</f>
        <v>6119.4680000000008</v>
      </c>
      <c r="M59" s="214"/>
      <c r="N59" s="356">
        <f>'1 квартал'!N59+апрель!N59</f>
        <v>1948.184</v>
      </c>
      <c r="O59" s="356">
        <f>'1 квартал'!O59+апрель!O59</f>
        <v>2455.1559999999999</v>
      </c>
    </row>
    <row r="60" spans="1:15" ht="13.5" thickTop="1" thickBot="1">
      <c r="A60" s="862"/>
      <c r="B60" s="182" t="s">
        <v>172</v>
      </c>
      <c r="C60" s="182" t="s">
        <v>88</v>
      </c>
      <c r="D60" s="324">
        <f t="shared" si="10"/>
        <v>0</v>
      </c>
      <c r="E60" s="324"/>
      <c r="F60" s="324"/>
      <c r="G60" s="324"/>
      <c r="H60" s="324"/>
      <c r="I60" s="324"/>
      <c r="J60" s="196">
        <f t="shared" si="11"/>
        <v>0</v>
      </c>
      <c r="K60" s="196"/>
      <c r="L60" s="196"/>
      <c r="M60" s="196"/>
      <c r="N60" s="196"/>
      <c r="O60" s="196"/>
    </row>
    <row r="61" spans="1:15" ht="13.5" thickTop="1" thickBot="1">
      <c r="A61" s="862"/>
      <c r="B61" s="207"/>
      <c r="C61" s="208" t="s">
        <v>89</v>
      </c>
      <c r="D61" s="326">
        <f t="shared" si="10"/>
        <v>0</v>
      </c>
      <c r="E61" s="327"/>
      <c r="F61" s="327"/>
      <c r="G61" s="326"/>
      <c r="H61" s="326"/>
      <c r="I61" s="327"/>
      <c r="J61" s="209">
        <f t="shared" si="11"/>
        <v>0</v>
      </c>
      <c r="K61" s="210"/>
      <c r="L61" s="210"/>
      <c r="M61" s="381"/>
      <c r="N61" s="381"/>
      <c r="O61" s="210"/>
    </row>
    <row r="62" spans="1:15" ht="13.5" thickTop="1" thickBot="1">
      <c r="A62" s="862"/>
      <c r="B62" s="207"/>
      <c r="C62" s="208" t="s">
        <v>90</v>
      </c>
      <c r="D62" s="326">
        <f t="shared" si="10"/>
        <v>0</v>
      </c>
      <c r="E62" s="327"/>
      <c r="F62" s="327"/>
      <c r="G62" s="327"/>
      <c r="H62" s="326"/>
      <c r="I62" s="326"/>
      <c r="J62" s="209">
        <f t="shared" si="11"/>
        <v>0</v>
      </c>
      <c r="K62" s="210"/>
      <c r="L62" s="210"/>
      <c r="M62" s="382"/>
      <c r="N62" s="381"/>
      <c r="O62" s="209"/>
    </row>
    <row r="63" spans="1:15" ht="13.5" thickTop="1" thickBot="1">
      <c r="A63" s="862"/>
      <c r="B63" s="207"/>
      <c r="C63" s="208" t="s">
        <v>91</v>
      </c>
      <c r="D63" s="326">
        <f t="shared" si="10"/>
        <v>0</v>
      </c>
      <c r="E63" s="327"/>
      <c r="F63" s="327"/>
      <c r="G63" s="327"/>
      <c r="H63" s="327"/>
      <c r="I63" s="326"/>
      <c r="J63" s="209">
        <f t="shared" si="11"/>
        <v>0</v>
      </c>
      <c r="K63" s="210"/>
      <c r="L63" s="210"/>
      <c r="M63" s="210"/>
      <c r="N63" s="210"/>
      <c r="O63" s="209"/>
    </row>
    <row r="64" spans="1:15" ht="13.5" thickTop="1" thickBot="1">
      <c r="A64" s="862"/>
      <c r="B64" s="182" t="s">
        <v>173</v>
      </c>
      <c r="C64" s="182" t="s">
        <v>93</v>
      </c>
      <c r="D64" s="324">
        <f t="shared" si="10"/>
        <v>0</v>
      </c>
      <c r="E64" s="356">
        <f>'1 квартал'!E64+апрель!E64</f>
        <v>0</v>
      </c>
      <c r="F64" s="356">
        <f>'1 квартал'!F64+апрель!F64</f>
        <v>0</v>
      </c>
      <c r="G64" s="328"/>
      <c r="H64" s="328"/>
      <c r="I64" s="324"/>
      <c r="J64" s="196">
        <f t="shared" si="11"/>
        <v>0</v>
      </c>
      <c r="K64" s="356">
        <f>'1 квартал'!K64+апрель!K64</f>
        <v>0</v>
      </c>
      <c r="L64" s="356">
        <f>'1 квартал'!L64+апрель!L64</f>
        <v>0</v>
      </c>
      <c r="M64" s="211"/>
      <c r="N64" s="211"/>
      <c r="O64" s="196"/>
    </row>
    <row r="65" spans="1:15" ht="13.5" thickTop="1" thickBot="1">
      <c r="A65" s="862"/>
      <c r="B65" s="182" t="s">
        <v>174</v>
      </c>
      <c r="C65" s="182" t="s">
        <v>95</v>
      </c>
      <c r="D65" s="330">
        <f t="shared" si="10"/>
        <v>0</v>
      </c>
      <c r="E65" s="356">
        <f>'1 квартал'!E65+апрель!E65</f>
        <v>0</v>
      </c>
      <c r="F65" s="326"/>
      <c r="G65" s="326"/>
      <c r="H65" s="326"/>
      <c r="I65" s="324"/>
      <c r="J65" s="213">
        <f t="shared" si="11"/>
        <v>0</v>
      </c>
      <c r="K65" s="356">
        <f>'1 квартал'!K65+апрель!K65</f>
        <v>0</v>
      </c>
      <c r="L65" s="209"/>
      <c r="M65" s="209"/>
      <c r="N65" s="209"/>
      <c r="O65" s="196"/>
    </row>
    <row r="66" spans="1:15" ht="13.5" thickTop="1" thickBot="1">
      <c r="A66" s="862"/>
      <c r="B66" s="207"/>
      <c r="C66" s="208" t="s">
        <v>89</v>
      </c>
      <c r="D66" s="326">
        <f t="shared" si="10"/>
        <v>0</v>
      </c>
      <c r="E66" s="327"/>
      <c r="F66" s="327"/>
      <c r="G66" s="326"/>
      <c r="H66" s="326"/>
      <c r="I66" s="327"/>
      <c r="J66" s="209">
        <f t="shared" si="11"/>
        <v>0</v>
      </c>
      <c r="K66" s="210"/>
      <c r="L66" s="210"/>
      <c r="M66" s="209"/>
      <c r="N66" s="209"/>
      <c r="O66" s="210"/>
    </row>
    <row r="67" spans="1:15" ht="13.5" thickTop="1" thickBot="1">
      <c r="A67" s="862"/>
      <c r="B67" s="207"/>
      <c r="C67" s="208" t="s">
        <v>90</v>
      </c>
      <c r="D67" s="326">
        <f t="shared" si="10"/>
        <v>0</v>
      </c>
      <c r="E67" s="327"/>
      <c r="F67" s="327"/>
      <c r="G67" s="327"/>
      <c r="H67" s="326"/>
      <c r="I67" s="326"/>
      <c r="J67" s="209">
        <f t="shared" si="11"/>
        <v>0</v>
      </c>
      <c r="K67" s="210"/>
      <c r="L67" s="210"/>
      <c r="M67" s="210"/>
      <c r="N67" s="209"/>
      <c r="O67" s="209"/>
    </row>
    <row r="68" spans="1:15" ht="13.5" thickTop="1" thickBot="1">
      <c r="A68" s="862"/>
      <c r="B68" s="207"/>
      <c r="C68" s="208" t="s">
        <v>91</v>
      </c>
      <c r="D68" s="326">
        <f t="shared" si="10"/>
        <v>0</v>
      </c>
      <c r="E68" s="327"/>
      <c r="F68" s="327"/>
      <c r="G68" s="327"/>
      <c r="H68" s="327"/>
      <c r="I68" s="326"/>
      <c r="J68" s="209">
        <f t="shared" si="11"/>
        <v>0</v>
      </c>
      <c r="K68" s="210"/>
      <c r="L68" s="210"/>
      <c r="M68" s="210"/>
      <c r="N68" s="210"/>
      <c r="O68" s="209"/>
    </row>
    <row r="69" spans="1:15" ht="13.5" thickTop="1" thickBot="1">
      <c r="A69" s="862"/>
      <c r="B69" s="182" t="s">
        <v>176</v>
      </c>
      <c r="C69" s="182" t="s">
        <v>97</v>
      </c>
      <c r="D69" s="324">
        <f t="shared" si="10"/>
        <v>0</v>
      </c>
      <c r="E69" s="324"/>
      <c r="F69" s="324"/>
      <c r="G69" s="324"/>
      <c r="H69" s="323"/>
      <c r="I69" s="324"/>
      <c r="J69" s="196">
        <f t="shared" si="11"/>
        <v>0</v>
      </c>
      <c r="K69" s="196"/>
      <c r="L69" s="196"/>
      <c r="M69" s="196"/>
      <c r="N69" s="185"/>
      <c r="O69" s="196"/>
    </row>
    <row r="70" spans="1:15" ht="13.5" thickTop="1" thickBot="1">
      <c r="A70" s="862"/>
      <c r="B70" s="182" t="s">
        <v>175</v>
      </c>
      <c r="C70" s="182" t="s">
        <v>99</v>
      </c>
      <c r="D70" s="324">
        <f t="shared" si="10"/>
        <v>0</v>
      </c>
      <c r="E70" s="324"/>
      <c r="F70" s="324"/>
      <c r="G70" s="324"/>
      <c r="H70" s="323"/>
      <c r="I70" s="324"/>
      <c r="J70" s="196">
        <f t="shared" si="11"/>
        <v>0</v>
      </c>
      <c r="K70" s="196"/>
      <c r="L70" s="196"/>
      <c r="M70" s="196"/>
      <c r="N70" s="185"/>
      <c r="O70" s="196"/>
    </row>
    <row r="71" spans="1:15" ht="13.5" thickTop="1" thickBot="1">
      <c r="A71" s="862"/>
      <c r="B71" s="204" t="s">
        <v>177</v>
      </c>
      <c r="C71" s="205" t="s">
        <v>203</v>
      </c>
      <c r="D71" s="325">
        <f t="shared" si="10"/>
        <v>24420</v>
      </c>
      <c r="E71" s="284"/>
      <c r="F71" s="284"/>
      <c r="G71" s="356">
        <f>'1 квартал'!G71+апрель!G71</f>
        <v>13080</v>
      </c>
      <c r="H71" s="356">
        <f>'1 квартал'!H71+апрель!H71</f>
        <v>11340</v>
      </c>
      <c r="I71" s="284"/>
      <c r="J71" s="206">
        <f t="shared" si="11"/>
        <v>23590.653000000002</v>
      </c>
      <c r="K71" s="284"/>
      <c r="L71" s="284"/>
      <c r="M71" s="356">
        <f>'1 квартал'!M71+апрель!M71</f>
        <v>13224.553000000002</v>
      </c>
      <c r="N71" s="356">
        <f>'1 квартал'!N71+апрель!N71</f>
        <v>10366.1</v>
      </c>
      <c r="O71" s="214"/>
    </row>
    <row r="72" spans="1:15" ht="13.5" thickTop="1" thickBot="1">
      <c r="A72" s="862"/>
      <c r="B72" s="182" t="s">
        <v>178</v>
      </c>
      <c r="C72" s="182" t="s">
        <v>88</v>
      </c>
      <c r="D72" s="324">
        <f t="shared" si="10"/>
        <v>0</v>
      </c>
      <c r="E72" s="324"/>
      <c r="F72" s="324"/>
      <c r="G72" s="324"/>
      <c r="H72" s="324"/>
      <c r="I72" s="324"/>
      <c r="J72" s="196">
        <f t="shared" si="11"/>
        <v>0</v>
      </c>
      <c r="K72" s="196"/>
      <c r="L72" s="196"/>
      <c r="M72" s="265"/>
      <c r="N72" s="265"/>
      <c r="O72" s="196"/>
    </row>
    <row r="73" spans="1:15" ht="13.5" thickTop="1" thickBot="1">
      <c r="A73" s="862"/>
      <c r="B73" s="207"/>
      <c r="C73" s="208" t="s">
        <v>89</v>
      </c>
      <c r="D73" s="326">
        <f t="shared" si="10"/>
        <v>11274</v>
      </c>
      <c r="E73" s="327"/>
      <c r="F73" s="327"/>
      <c r="G73" s="356">
        <f>'1 квартал'!G73+апрель!G73</f>
        <v>3480</v>
      </c>
      <c r="H73" s="356">
        <f>'1 квартал'!H73+апрель!H73</f>
        <v>7794</v>
      </c>
      <c r="I73" s="327"/>
      <c r="J73" s="209">
        <f t="shared" si="11"/>
        <v>9895.1290000000008</v>
      </c>
      <c r="K73" s="210"/>
      <c r="L73" s="210"/>
      <c r="M73" s="356">
        <f>'1 квартал'!M73+апрель!M73</f>
        <v>2669.9910000000009</v>
      </c>
      <c r="N73" s="356">
        <f>'1 квартал'!N73+апрель!N73</f>
        <v>7225.1380000000008</v>
      </c>
      <c r="O73" s="210"/>
    </row>
    <row r="74" spans="1:15" ht="13.5" thickTop="1" thickBot="1">
      <c r="A74" s="862"/>
      <c r="B74" s="207"/>
      <c r="C74" s="208" t="s">
        <v>90</v>
      </c>
      <c r="D74" s="326">
        <f t="shared" si="10"/>
        <v>0</v>
      </c>
      <c r="E74" s="327"/>
      <c r="F74" s="327"/>
      <c r="G74" s="327"/>
      <c r="H74" s="326"/>
      <c r="I74" s="326"/>
      <c r="J74" s="209">
        <f t="shared" si="11"/>
        <v>0</v>
      </c>
      <c r="K74" s="210"/>
      <c r="L74" s="210"/>
      <c r="M74" s="210"/>
      <c r="N74" s="320"/>
      <c r="O74" s="209"/>
    </row>
    <row r="75" spans="1:15" ht="13.5" thickTop="1" thickBot="1">
      <c r="A75" s="862"/>
      <c r="B75" s="207"/>
      <c r="C75" s="208" t="s">
        <v>91</v>
      </c>
      <c r="D75" s="326">
        <f t="shared" si="10"/>
        <v>0</v>
      </c>
      <c r="E75" s="327"/>
      <c r="F75" s="327"/>
      <c r="G75" s="327"/>
      <c r="H75" s="327"/>
      <c r="I75" s="326"/>
      <c r="J75" s="209">
        <f t="shared" si="11"/>
        <v>0</v>
      </c>
      <c r="K75" s="210"/>
      <c r="L75" s="210"/>
      <c r="M75" s="210"/>
      <c r="N75" s="210"/>
      <c r="O75" s="209"/>
    </row>
    <row r="76" spans="1:15" ht="13.5" thickTop="1" thickBot="1">
      <c r="A76" s="862"/>
      <c r="B76" s="182" t="s">
        <v>179</v>
      </c>
      <c r="C76" s="182" t="s">
        <v>93</v>
      </c>
      <c r="D76" s="324">
        <f t="shared" si="10"/>
        <v>0</v>
      </c>
      <c r="E76" s="324"/>
      <c r="F76" s="324"/>
      <c r="G76" s="328"/>
      <c r="H76" s="328"/>
      <c r="I76" s="324"/>
      <c r="J76" s="196">
        <f t="shared" si="11"/>
        <v>0</v>
      </c>
      <c r="K76" s="196"/>
      <c r="L76" s="196"/>
      <c r="M76" s="211"/>
      <c r="N76" s="211"/>
      <c r="O76" s="196"/>
    </row>
    <row r="77" spans="1:15" ht="13.5" thickTop="1" thickBot="1">
      <c r="A77" s="862"/>
      <c r="B77" s="182" t="s">
        <v>180</v>
      </c>
      <c r="C77" s="182" t="s">
        <v>95</v>
      </c>
      <c r="D77" s="330">
        <f t="shared" si="10"/>
        <v>0</v>
      </c>
      <c r="E77" s="380"/>
      <c r="F77" s="326"/>
      <c r="G77" s="356"/>
      <c r="H77" s="356"/>
      <c r="I77" s="324"/>
      <c r="J77" s="213"/>
      <c r="K77" s="383"/>
      <c r="L77" s="209"/>
      <c r="M77" s="356"/>
      <c r="N77" s="356"/>
      <c r="O77" s="196"/>
    </row>
    <row r="78" spans="1:15" ht="13.5" thickTop="1" thickBot="1">
      <c r="A78" s="862"/>
      <c r="B78" s="207"/>
      <c r="C78" s="208" t="s">
        <v>89</v>
      </c>
      <c r="D78" s="326">
        <f t="shared" ref="D78:D147" si="12">SUM(E78:I78)</f>
        <v>13146</v>
      </c>
      <c r="E78" s="327"/>
      <c r="F78" s="327"/>
      <c r="G78" s="356">
        <f>'1 квартал'!G78+апрель!G78</f>
        <v>9600</v>
      </c>
      <c r="H78" s="356">
        <f>'1 квартал'!H78+апрель!H78</f>
        <v>3546</v>
      </c>
      <c r="I78" s="327"/>
      <c r="J78" s="209">
        <f t="shared" ref="J78:J147" si="13">SUM(K78:O78)</f>
        <v>13695.523999999999</v>
      </c>
      <c r="K78" s="210"/>
      <c r="L78" s="210"/>
      <c r="M78" s="356">
        <f>'1 квартал'!M78+апрель!M78</f>
        <v>10554.562</v>
      </c>
      <c r="N78" s="356">
        <f>'1 квартал'!N78+апрель!N78</f>
        <v>3140.962</v>
      </c>
      <c r="O78" s="210"/>
    </row>
    <row r="79" spans="1:15" ht="13.5" thickTop="1" thickBot="1">
      <c r="A79" s="862"/>
      <c r="B79" s="207"/>
      <c r="C79" s="208" t="s">
        <v>90</v>
      </c>
      <c r="D79" s="326">
        <f t="shared" si="12"/>
        <v>0</v>
      </c>
      <c r="E79" s="327"/>
      <c r="F79" s="327"/>
      <c r="G79" s="327"/>
      <c r="H79" s="326"/>
      <c r="I79" s="326"/>
      <c r="J79" s="209">
        <f t="shared" si="13"/>
        <v>0</v>
      </c>
      <c r="K79" s="210"/>
      <c r="L79" s="210"/>
      <c r="M79" s="210"/>
      <c r="N79" s="209"/>
      <c r="O79" s="209"/>
    </row>
    <row r="80" spans="1:15" ht="13.5" thickTop="1" thickBot="1">
      <c r="A80" s="862"/>
      <c r="B80" s="207"/>
      <c r="C80" s="208" t="s">
        <v>91</v>
      </c>
      <c r="D80" s="326">
        <f t="shared" si="12"/>
        <v>0</v>
      </c>
      <c r="E80" s="327"/>
      <c r="F80" s="327"/>
      <c r="G80" s="327"/>
      <c r="H80" s="327"/>
      <c r="I80" s="326"/>
      <c r="J80" s="209">
        <f t="shared" si="13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324">
        <f t="shared" si="12"/>
        <v>0</v>
      </c>
      <c r="E81" s="324"/>
      <c r="F81" s="324"/>
      <c r="G81" s="324"/>
      <c r="H81" s="323"/>
      <c r="I81" s="324"/>
      <c r="J81" s="196">
        <f t="shared" si="13"/>
        <v>0</v>
      </c>
      <c r="K81" s="196"/>
      <c r="L81" s="196"/>
      <c r="M81" s="196"/>
      <c r="N81" s="185"/>
      <c r="O81" s="196"/>
    </row>
    <row r="82" spans="1:15" ht="13.5" thickTop="1" thickBot="1">
      <c r="A82" s="862"/>
      <c r="B82" s="182" t="s">
        <v>182</v>
      </c>
      <c r="C82" s="182" t="s">
        <v>99</v>
      </c>
      <c r="D82" s="324">
        <f t="shared" si="12"/>
        <v>0</v>
      </c>
      <c r="E82" s="324"/>
      <c r="F82" s="324"/>
      <c r="G82" s="324"/>
      <c r="H82" s="323"/>
      <c r="I82" s="324"/>
      <c r="J82" s="196">
        <f t="shared" si="13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325">
        <f t="shared" si="12"/>
        <v>275250</v>
      </c>
      <c r="E83" s="284"/>
      <c r="F83" s="356">
        <f>'1 квартал'!F83+апрель!F83</f>
        <v>275250</v>
      </c>
      <c r="G83" s="284"/>
      <c r="H83" s="284"/>
      <c r="I83" s="284"/>
      <c r="J83" s="206">
        <f t="shared" si="13"/>
        <v>250382.08899999998</v>
      </c>
      <c r="K83" s="284"/>
      <c r="L83" s="356">
        <f>'1 квартал'!L83+апрель!L83</f>
        <v>250382.08899999998</v>
      </c>
      <c r="M83" s="214"/>
      <c r="N83" s="214"/>
      <c r="O83" s="214"/>
    </row>
    <row r="84" spans="1:15" ht="13.5" thickTop="1" thickBot="1">
      <c r="A84" s="862"/>
      <c r="B84" s="182" t="s">
        <v>184</v>
      </c>
      <c r="C84" s="182" t="s">
        <v>88</v>
      </c>
      <c r="D84" s="324">
        <f t="shared" si="12"/>
        <v>0</v>
      </c>
      <c r="E84" s="324"/>
      <c r="F84" s="324"/>
      <c r="G84" s="324"/>
      <c r="H84" s="324"/>
      <c r="I84" s="324"/>
      <c r="J84" s="196">
        <f t="shared" si="13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326">
        <f t="shared" si="12"/>
        <v>0</v>
      </c>
      <c r="E85" s="327"/>
      <c r="F85" s="327"/>
      <c r="G85" s="326"/>
      <c r="H85" s="326"/>
      <c r="I85" s="327"/>
      <c r="J85" s="209">
        <f t="shared" si="13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326">
        <f t="shared" si="12"/>
        <v>0</v>
      </c>
      <c r="E86" s="327"/>
      <c r="F86" s="327"/>
      <c r="G86" s="327"/>
      <c r="H86" s="326"/>
      <c r="I86" s="326"/>
      <c r="J86" s="209">
        <f t="shared" si="13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326">
        <f t="shared" si="12"/>
        <v>0</v>
      </c>
      <c r="E87" s="327"/>
      <c r="F87" s="327"/>
      <c r="G87" s="327"/>
      <c r="H87" s="327"/>
      <c r="I87" s="326"/>
      <c r="J87" s="209">
        <f t="shared" si="13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324">
        <f t="shared" si="12"/>
        <v>0</v>
      </c>
      <c r="E88" s="324"/>
      <c r="F88" s="324"/>
      <c r="G88" s="328"/>
      <c r="H88" s="328"/>
      <c r="I88" s="324"/>
      <c r="J88" s="196">
        <f t="shared" si="13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330">
        <f t="shared" si="12"/>
        <v>113462</v>
      </c>
      <c r="E89" s="380"/>
      <c r="F89" s="356">
        <f>'1 квартал'!F89+апрель!F89</f>
        <v>113462</v>
      </c>
      <c r="G89" s="326"/>
      <c r="H89" s="326"/>
      <c r="I89" s="324"/>
      <c r="J89" s="213">
        <f t="shared" si="13"/>
        <v>96839.6</v>
      </c>
      <c r="K89" s="383"/>
      <c r="L89" s="356">
        <f>'1 квартал'!L89+апрель!L89</f>
        <v>96839.6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326">
        <f t="shared" si="12"/>
        <v>0</v>
      </c>
      <c r="E90" s="327"/>
      <c r="F90" s="327"/>
      <c r="G90" s="326"/>
      <c r="H90" s="326"/>
      <c r="I90" s="327"/>
      <c r="J90" s="209">
        <f t="shared" si="13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326">
        <f t="shared" si="12"/>
        <v>0</v>
      </c>
      <c r="E91" s="327"/>
      <c r="F91" s="327"/>
      <c r="G91" s="327"/>
      <c r="H91" s="326"/>
      <c r="I91" s="326"/>
      <c r="J91" s="209">
        <f t="shared" si="13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326">
        <f t="shared" si="12"/>
        <v>0</v>
      </c>
      <c r="E92" s="327"/>
      <c r="F92" s="327"/>
      <c r="G92" s="327"/>
      <c r="H92" s="327"/>
      <c r="I92" s="326"/>
      <c r="J92" s="209">
        <f t="shared" si="13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324">
        <f t="shared" si="12"/>
        <v>0</v>
      </c>
      <c r="E93" s="324"/>
      <c r="F93" s="324"/>
      <c r="G93" s="324"/>
      <c r="H93" s="323"/>
      <c r="I93" s="324"/>
      <c r="J93" s="196">
        <f t="shared" si="13"/>
        <v>0</v>
      </c>
      <c r="K93" s="196"/>
      <c r="L93" s="196"/>
      <c r="M93" s="196"/>
      <c r="N93" s="185"/>
      <c r="O93" s="196"/>
    </row>
    <row r="94" spans="1:15" ht="13.5" thickTop="1" thickBot="1">
      <c r="A94" s="862"/>
      <c r="B94" s="182" t="s">
        <v>188</v>
      </c>
      <c r="C94" s="182" t="s">
        <v>99</v>
      </c>
      <c r="D94" s="324">
        <f t="shared" si="12"/>
        <v>0</v>
      </c>
      <c r="E94" s="324"/>
      <c r="F94" s="324"/>
      <c r="G94" s="324"/>
      <c r="H94" s="323"/>
      <c r="I94" s="324"/>
      <c r="J94" s="196">
        <f t="shared" si="13"/>
        <v>0</v>
      </c>
      <c r="K94" s="196"/>
      <c r="L94" s="196"/>
      <c r="M94" s="196"/>
      <c r="N94" s="196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>
        <f t="shared" ref="D95:D106" si="14">SUM(E95:I95)</f>
        <v>20400</v>
      </c>
      <c r="E95" s="284"/>
      <c r="F95" s="325"/>
      <c r="G95" s="284"/>
      <c r="H95" s="356">
        <f>'1 квартал'!H95+апрель!H95</f>
        <v>20400</v>
      </c>
      <c r="I95" s="284"/>
      <c r="J95" s="206">
        <f t="shared" ref="J95:J106" si="15">SUM(K95:O95)</f>
        <v>9844.7170000000006</v>
      </c>
      <c r="K95" s="284"/>
      <c r="L95" s="325"/>
      <c r="M95" s="214"/>
      <c r="N95" s="356">
        <f>'1 квартал'!N95+апрель!N95</f>
        <v>9844.7170000000006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4"/>
        <v>0</v>
      </c>
      <c r="E96" s="324"/>
      <c r="F96" s="324"/>
      <c r="G96" s="324"/>
      <c r="H96" s="324"/>
      <c r="I96" s="324"/>
      <c r="J96" s="196">
        <f t="shared" si="15"/>
        <v>0</v>
      </c>
      <c r="K96" s="196"/>
      <c r="L96" s="196"/>
      <c r="M96" s="196"/>
      <c r="N96" s="196"/>
      <c r="O96" s="196"/>
    </row>
    <row r="97" spans="1:15" ht="13.5" thickTop="1" thickBot="1">
      <c r="A97" s="862"/>
      <c r="B97" s="207"/>
      <c r="C97" s="208" t="s">
        <v>89</v>
      </c>
      <c r="D97" s="326">
        <f t="shared" si="14"/>
        <v>7960</v>
      </c>
      <c r="E97" s="327"/>
      <c r="F97" s="327"/>
      <c r="G97" s="326"/>
      <c r="H97" s="356">
        <f>'1 квартал'!H97+апрель!H97</f>
        <v>7960</v>
      </c>
      <c r="I97" s="327"/>
      <c r="J97" s="209">
        <f t="shared" si="15"/>
        <v>1152.4939999999999</v>
      </c>
      <c r="K97" s="210"/>
      <c r="L97" s="210"/>
      <c r="M97" s="209"/>
      <c r="N97" s="356">
        <f>'1 квартал'!N97+апрель!N97</f>
        <v>1152.4939999999999</v>
      </c>
      <c r="O97" s="210"/>
    </row>
    <row r="98" spans="1:15" ht="13.5" thickTop="1" thickBot="1">
      <c r="A98" s="862"/>
      <c r="B98" s="207"/>
      <c r="C98" s="208" t="s">
        <v>90</v>
      </c>
      <c r="D98" s="326">
        <f t="shared" si="14"/>
        <v>6940</v>
      </c>
      <c r="E98" s="327"/>
      <c r="F98" s="327"/>
      <c r="G98" s="327"/>
      <c r="H98" s="356">
        <f>'1 квартал'!H98+апрель!H98</f>
        <v>6940</v>
      </c>
      <c r="I98" s="326"/>
      <c r="J98" s="209">
        <f t="shared" si="15"/>
        <v>3042.4849999999997</v>
      </c>
      <c r="K98" s="210"/>
      <c r="L98" s="210"/>
      <c r="M98" s="210"/>
      <c r="N98" s="356">
        <f>'1 квартал'!N98+апрель!N98</f>
        <v>3042.4849999999997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4"/>
        <v>0</v>
      </c>
      <c r="E99" s="327"/>
      <c r="F99" s="327"/>
      <c r="G99" s="327"/>
      <c r="H99" s="327"/>
      <c r="I99" s="326"/>
      <c r="J99" s="209">
        <f t="shared" si="15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4"/>
        <v>0</v>
      </c>
      <c r="E100" s="324"/>
      <c r="F100" s="324"/>
      <c r="G100" s="328"/>
      <c r="H100" s="356">
        <f>'1 квартал'!H100+апрель!H100</f>
        <v>0</v>
      </c>
      <c r="I100" s="324"/>
      <c r="J100" s="196">
        <f t="shared" si="15"/>
        <v>0</v>
      </c>
      <c r="K100" s="196"/>
      <c r="L100" s="196"/>
      <c r="M100" s="211"/>
      <c r="N100" s="356">
        <f>'1 квартал'!N100+апрель!N100</f>
        <v>0</v>
      </c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4"/>
        <v>0</v>
      </c>
      <c r="E101" s="380"/>
      <c r="F101" s="331"/>
      <c r="G101" s="326"/>
      <c r="H101" s="326"/>
      <c r="I101" s="324"/>
      <c r="J101" s="213">
        <f t="shared" si="15"/>
        <v>0</v>
      </c>
      <c r="K101" s="383"/>
      <c r="L101" s="320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4"/>
        <v>0</v>
      </c>
      <c r="E102" s="327"/>
      <c r="F102" s="327"/>
      <c r="G102" s="326"/>
      <c r="H102" s="326"/>
      <c r="I102" s="327"/>
      <c r="J102" s="209">
        <f t="shared" si="15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4"/>
        <v>0</v>
      </c>
      <c r="E103" s="327"/>
      <c r="F103" s="327"/>
      <c r="G103" s="327"/>
      <c r="H103" s="326"/>
      <c r="I103" s="326"/>
      <c r="J103" s="209">
        <f t="shared" si="15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4"/>
        <v>0</v>
      </c>
      <c r="E104" s="327"/>
      <c r="F104" s="327"/>
      <c r="G104" s="327"/>
      <c r="H104" s="327"/>
      <c r="I104" s="326"/>
      <c r="J104" s="209">
        <f t="shared" si="15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4"/>
        <v>0</v>
      </c>
      <c r="E105" s="324"/>
      <c r="F105" s="324"/>
      <c r="G105" s="324"/>
      <c r="H105" s="323"/>
      <c r="I105" s="324"/>
      <c r="J105" s="196">
        <f t="shared" si="15"/>
        <v>0</v>
      </c>
      <c r="K105" s="196"/>
      <c r="L105" s="196"/>
      <c r="M105" s="196"/>
      <c r="N105" s="185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4"/>
        <v>0</v>
      </c>
      <c r="E106" s="324"/>
      <c r="F106" s="324"/>
      <c r="G106" s="324"/>
      <c r="H106" s="323"/>
      <c r="I106" s="324"/>
      <c r="J106" s="196">
        <f t="shared" si="15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>
        <f t="shared" ref="D107:D118" si="16">SUM(E107:I107)</f>
        <v>0</v>
      </c>
      <c r="E107" s="284"/>
      <c r="F107" s="325"/>
      <c r="G107" s="284"/>
      <c r="H107" s="356">
        <f>'1 квартал'!H107+апрель!H107</f>
        <v>0</v>
      </c>
      <c r="I107" s="284"/>
      <c r="J107" s="206">
        <f t="shared" ref="J107:J118" si="17">SUM(K107:O107)</f>
        <v>1026.796</v>
      </c>
      <c r="K107" s="284"/>
      <c r="L107" s="325"/>
      <c r="M107" s="214"/>
      <c r="N107" s="356">
        <f>'1 квартал'!N107+апрель!N107</f>
        <v>1026.796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6"/>
        <v>0</v>
      </c>
      <c r="E108" s="324"/>
      <c r="F108" s="324"/>
      <c r="G108" s="324"/>
      <c r="H108" s="324"/>
      <c r="I108" s="324"/>
      <c r="J108" s="196">
        <f t="shared" si="17"/>
        <v>0</v>
      </c>
      <c r="K108" s="196"/>
      <c r="L108" s="196"/>
      <c r="M108" s="196"/>
      <c r="N108" s="196"/>
      <c r="O108" s="196"/>
    </row>
    <row r="109" spans="1:15" ht="13.5" thickTop="1" thickBot="1">
      <c r="A109" s="862"/>
      <c r="B109" s="207"/>
      <c r="C109" s="208" t="s">
        <v>89</v>
      </c>
      <c r="D109" s="326">
        <f t="shared" si="16"/>
        <v>0</v>
      </c>
      <c r="E109" s="327"/>
      <c r="F109" s="327"/>
      <c r="G109" s="326"/>
      <c r="H109" s="356">
        <f>'1 квартал'!H109+апрель!H109</f>
        <v>0</v>
      </c>
      <c r="I109" s="327"/>
      <c r="J109" s="209">
        <f t="shared" si="17"/>
        <v>1026.796</v>
      </c>
      <c r="K109" s="210"/>
      <c r="L109" s="210"/>
      <c r="M109" s="209"/>
      <c r="N109" s="356">
        <f>'1 квартал'!N109+апрель!N109</f>
        <v>1026.796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6"/>
        <v>0</v>
      </c>
      <c r="E110" s="327"/>
      <c r="F110" s="327"/>
      <c r="G110" s="327"/>
      <c r="H110" s="339"/>
      <c r="I110" s="326"/>
      <c r="J110" s="209">
        <f t="shared" si="17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6"/>
        <v>0</v>
      </c>
      <c r="E111" s="327"/>
      <c r="F111" s="327"/>
      <c r="G111" s="327"/>
      <c r="H111" s="327"/>
      <c r="I111" s="326"/>
      <c r="J111" s="209">
        <f t="shared" si="17"/>
        <v>0</v>
      </c>
      <c r="K111" s="210"/>
      <c r="L111" s="210"/>
      <c r="M111" s="210"/>
      <c r="N111" s="210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6"/>
        <v>0</v>
      </c>
      <c r="E112" s="324"/>
      <c r="F112" s="324"/>
      <c r="G112" s="328"/>
      <c r="H112" s="328"/>
      <c r="I112" s="324"/>
      <c r="J112" s="196">
        <f t="shared" si="17"/>
        <v>0</v>
      </c>
      <c r="K112" s="196"/>
      <c r="L112" s="196"/>
      <c r="M112" s="211"/>
      <c r="N112" s="211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6"/>
        <v>0</v>
      </c>
      <c r="E113" s="380"/>
      <c r="F113" s="331"/>
      <c r="G113" s="326"/>
      <c r="H113" s="326"/>
      <c r="I113" s="324"/>
      <c r="J113" s="213">
        <f t="shared" si="17"/>
        <v>0</v>
      </c>
      <c r="K113" s="383"/>
      <c r="L113" s="320"/>
      <c r="M113" s="209"/>
      <c r="N113" s="209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6"/>
        <v>0</v>
      </c>
      <c r="E114" s="327"/>
      <c r="F114" s="327"/>
      <c r="G114" s="326"/>
      <c r="H114" s="326"/>
      <c r="I114" s="327"/>
      <c r="J114" s="209">
        <f t="shared" si="17"/>
        <v>0</v>
      </c>
      <c r="K114" s="210"/>
      <c r="L114" s="210"/>
      <c r="M114" s="209"/>
      <c r="N114" s="209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6"/>
        <v>0</v>
      </c>
      <c r="E115" s="327"/>
      <c r="F115" s="327"/>
      <c r="G115" s="327"/>
      <c r="H115" s="326"/>
      <c r="I115" s="326"/>
      <c r="J115" s="209">
        <f t="shared" si="17"/>
        <v>0</v>
      </c>
      <c r="K115" s="210"/>
      <c r="L115" s="210"/>
      <c r="M115" s="210"/>
      <c r="N115" s="209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6"/>
        <v>0</v>
      </c>
      <c r="E116" s="327"/>
      <c r="F116" s="327"/>
      <c r="G116" s="327"/>
      <c r="H116" s="327"/>
      <c r="I116" s="326"/>
      <c r="J116" s="209">
        <f t="shared" si="17"/>
        <v>0</v>
      </c>
      <c r="K116" s="210"/>
      <c r="L116" s="210"/>
      <c r="M116" s="210"/>
      <c r="N116" s="210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6"/>
        <v>0</v>
      </c>
      <c r="E117" s="324"/>
      <c r="F117" s="324"/>
      <c r="G117" s="324"/>
      <c r="H117" s="324"/>
      <c r="I117" s="324"/>
      <c r="J117" s="196">
        <f t="shared" si="17"/>
        <v>0</v>
      </c>
      <c r="K117" s="196"/>
      <c r="L117" s="196"/>
      <c r="M117" s="196"/>
      <c r="N117" s="185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6"/>
        <v>0</v>
      </c>
      <c r="E118" s="324"/>
      <c r="F118" s="324"/>
      <c r="G118" s="324"/>
      <c r="H118" s="323"/>
      <c r="I118" s="324"/>
      <c r="J118" s="196">
        <f t="shared" si="17"/>
        <v>0</v>
      </c>
      <c r="K118" s="196"/>
      <c r="L118" s="196"/>
      <c r="M118" s="196"/>
      <c r="N118" s="196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>
        <f t="shared" ref="D119:D130" si="18">SUM(E119:I119)</f>
        <v>0</v>
      </c>
      <c r="E119" s="284"/>
      <c r="F119" s="325"/>
      <c r="G119" s="284"/>
      <c r="H119" s="339"/>
      <c r="I119" s="284"/>
      <c r="J119" s="206">
        <f t="shared" ref="J119:J130" si="19">SUM(K119:O119)</f>
        <v>315.57799999999997</v>
      </c>
      <c r="K119" s="284"/>
      <c r="L119" s="325"/>
      <c r="M119" s="214"/>
      <c r="N119" s="356">
        <f>'1 квартал'!N119+апрель!N119</f>
        <v>315.57799999999997</v>
      </c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18"/>
        <v>0</v>
      </c>
      <c r="E120" s="324"/>
      <c r="F120" s="324"/>
      <c r="G120" s="324"/>
      <c r="H120" s="324"/>
      <c r="I120" s="324"/>
      <c r="J120" s="196">
        <f t="shared" si="19"/>
        <v>0</v>
      </c>
      <c r="K120" s="196"/>
      <c r="L120" s="196"/>
      <c r="M120" s="196"/>
      <c r="N120" s="196"/>
      <c r="O120" s="196"/>
    </row>
    <row r="121" spans="1:15" ht="13.5" thickTop="1" thickBot="1">
      <c r="A121" s="862"/>
      <c r="B121" s="207"/>
      <c r="C121" s="208" t="s">
        <v>89</v>
      </c>
      <c r="D121" s="326">
        <f t="shared" si="18"/>
        <v>0</v>
      </c>
      <c r="E121" s="327"/>
      <c r="F121" s="327"/>
      <c r="G121" s="326"/>
      <c r="H121" s="339"/>
      <c r="I121" s="327"/>
      <c r="J121" s="209">
        <f t="shared" si="19"/>
        <v>315.57799999999997</v>
      </c>
      <c r="K121" s="210"/>
      <c r="L121" s="210"/>
      <c r="M121" s="209"/>
      <c r="N121" s="356">
        <f>'1 квартал'!N121+апрель!N121</f>
        <v>315.57799999999997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18"/>
        <v>0</v>
      </c>
      <c r="E122" s="327"/>
      <c r="F122" s="327"/>
      <c r="G122" s="327"/>
      <c r="H122" s="339"/>
      <c r="I122" s="326"/>
      <c r="J122" s="209">
        <f t="shared" si="19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18"/>
        <v>0</v>
      </c>
      <c r="E123" s="327"/>
      <c r="F123" s="327"/>
      <c r="G123" s="327"/>
      <c r="H123" s="327"/>
      <c r="I123" s="326"/>
      <c r="J123" s="209">
        <f t="shared" si="19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18"/>
        <v>0</v>
      </c>
      <c r="E124" s="324"/>
      <c r="F124" s="324"/>
      <c r="G124" s="328"/>
      <c r="H124" s="328"/>
      <c r="I124" s="324"/>
      <c r="J124" s="196">
        <f t="shared" si="19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18"/>
        <v>0</v>
      </c>
      <c r="E125" s="380"/>
      <c r="F125" s="331"/>
      <c r="G125" s="326"/>
      <c r="H125" s="326"/>
      <c r="I125" s="324"/>
      <c r="J125" s="213">
        <f t="shared" si="19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18"/>
        <v>0</v>
      </c>
      <c r="E126" s="327"/>
      <c r="F126" s="327"/>
      <c r="G126" s="326"/>
      <c r="H126" s="326"/>
      <c r="I126" s="327"/>
      <c r="J126" s="209">
        <f t="shared" si="19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18"/>
        <v>0</v>
      </c>
      <c r="E127" s="327"/>
      <c r="F127" s="327"/>
      <c r="G127" s="327"/>
      <c r="H127" s="326"/>
      <c r="I127" s="326"/>
      <c r="J127" s="209">
        <f t="shared" si="19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18"/>
        <v>0</v>
      </c>
      <c r="E128" s="327"/>
      <c r="F128" s="327"/>
      <c r="G128" s="327"/>
      <c r="H128" s="327"/>
      <c r="I128" s="326"/>
      <c r="J128" s="209">
        <f t="shared" si="19"/>
        <v>0</v>
      </c>
      <c r="K128" s="210"/>
      <c r="L128" s="210"/>
      <c r="M128" s="210"/>
      <c r="N128" s="210"/>
      <c r="O128" s="209"/>
    </row>
    <row r="129" spans="1:16" ht="13.5" thickTop="1" thickBot="1">
      <c r="A129" s="862"/>
      <c r="B129" s="182" t="s">
        <v>246</v>
      </c>
      <c r="C129" s="182" t="s">
        <v>97</v>
      </c>
      <c r="D129" s="324">
        <f t="shared" si="18"/>
        <v>0</v>
      </c>
      <c r="E129" s="324"/>
      <c r="F129" s="324"/>
      <c r="G129" s="324"/>
      <c r="H129" s="324"/>
      <c r="I129" s="324"/>
      <c r="J129" s="196">
        <f t="shared" si="19"/>
        <v>0</v>
      </c>
      <c r="K129" s="196"/>
      <c r="L129" s="196"/>
      <c r="M129" s="196"/>
      <c r="N129" s="185"/>
      <c r="O129" s="196"/>
    </row>
    <row r="130" spans="1:16" ht="13.5" thickTop="1" thickBot="1">
      <c r="A130" s="862"/>
      <c r="B130" s="182" t="s">
        <v>247</v>
      </c>
      <c r="C130" s="182" t="s">
        <v>99</v>
      </c>
      <c r="D130" s="324">
        <f t="shared" si="18"/>
        <v>0</v>
      </c>
      <c r="E130" s="324"/>
      <c r="F130" s="324"/>
      <c r="G130" s="324"/>
      <c r="H130" s="323"/>
      <c r="I130" s="324"/>
      <c r="J130" s="196">
        <f t="shared" si="19"/>
        <v>0</v>
      </c>
      <c r="K130" s="196"/>
      <c r="L130" s="196"/>
      <c r="M130" s="196"/>
      <c r="N130" s="196"/>
      <c r="O130" s="196"/>
    </row>
    <row r="131" spans="1:16" ht="13.5" thickTop="1" thickBot="1">
      <c r="A131" s="862"/>
      <c r="B131" s="204" t="s">
        <v>250</v>
      </c>
      <c r="C131" s="595" t="s">
        <v>249</v>
      </c>
      <c r="D131" s="325">
        <f t="shared" ref="D131:D142" si="20">SUM(E131:I131)</f>
        <v>0</v>
      </c>
      <c r="E131" s="284"/>
      <c r="F131" s="325"/>
      <c r="G131" s="284"/>
      <c r="H131" s="339"/>
      <c r="I131" s="284"/>
      <c r="J131" s="206">
        <f t="shared" ref="J131:J142" si="21">SUM(K131:O131)</f>
        <v>0</v>
      </c>
      <c r="K131" s="284"/>
      <c r="L131" s="325"/>
      <c r="M131" s="214"/>
      <c r="N131" s="339"/>
      <c r="O131" s="214"/>
    </row>
    <row r="132" spans="1:16" ht="13.5" thickTop="1" thickBot="1">
      <c r="A132" s="862"/>
      <c r="B132" s="182" t="s">
        <v>251</v>
      </c>
      <c r="C132" s="182" t="s">
        <v>88</v>
      </c>
      <c r="D132" s="324">
        <f t="shared" si="20"/>
        <v>0</v>
      </c>
      <c r="E132" s="324"/>
      <c r="F132" s="324"/>
      <c r="G132" s="324"/>
      <c r="H132" s="324"/>
      <c r="I132" s="324"/>
      <c r="J132" s="196">
        <f t="shared" si="21"/>
        <v>0</v>
      </c>
      <c r="K132" s="196"/>
      <c r="L132" s="196"/>
      <c r="M132" s="196"/>
      <c r="N132" s="196"/>
      <c r="O132" s="196"/>
    </row>
    <row r="133" spans="1:16" ht="13.5" thickTop="1" thickBot="1">
      <c r="A133" s="862"/>
      <c r="B133" s="207"/>
      <c r="C133" s="208" t="s">
        <v>89</v>
      </c>
      <c r="D133" s="326">
        <f t="shared" si="20"/>
        <v>0</v>
      </c>
      <c r="E133" s="327"/>
      <c r="F133" s="327"/>
      <c r="G133" s="326"/>
      <c r="H133" s="339"/>
      <c r="I133" s="327"/>
      <c r="J133" s="209">
        <f t="shared" si="21"/>
        <v>0</v>
      </c>
      <c r="K133" s="210"/>
      <c r="L133" s="210"/>
      <c r="M133" s="209"/>
      <c r="N133" s="339"/>
      <c r="O133" s="210"/>
    </row>
    <row r="134" spans="1:16" ht="13.5" thickTop="1" thickBot="1">
      <c r="A134" s="862"/>
      <c r="B134" s="207"/>
      <c r="C134" s="208" t="s">
        <v>90</v>
      </c>
      <c r="D134" s="326">
        <f t="shared" si="20"/>
        <v>0</v>
      </c>
      <c r="E134" s="327"/>
      <c r="F134" s="327"/>
      <c r="G134" s="327"/>
      <c r="H134" s="339"/>
      <c r="I134" s="326"/>
      <c r="J134" s="209">
        <f t="shared" si="21"/>
        <v>0</v>
      </c>
      <c r="K134" s="210"/>
      <c r="L134" s="210"/>
      <c r="M134" s="210"/>
      <c r="N134" s="699"/>
      <c r="O134" s="209"/>
    </row>
    <row r="135" spans="1:16" ht="13.5" thickTop="1" thickBot="1">
      <c r="A135" s="862"/>
      <c r="B135" s="207"/>
      <c r="C135" s="208" t="s">
        <v>91</v>
      </c>
      <c r="D135" s="326">
        <f t="shared" si="20"/>
        <v>0</v>
      </c>
      <c r="E135" s="327"/>
      <c r="F135" s="327"/>
      <c r="G135" s="327"/>
      <c r="H135" s="327"/>
      <c r="I135" s="326"/>
      <c r="J135" s="209">
        <f t="shared" si="21"/>
        <v>0</v>
      </c>
      <c r="K135" s="210"/>
      <c r="L135" s="210"/>
      <c r="M135" s="210"/>
      <c r="N135" s="210"/>
      <c r="O135" s="209"/>
    </row>
    <row r="136" spans="1:16" ht="13.5" thickTop="1" thickBot="1">
      <c r="A136" s="862"/>
      <c r="B136" s="182" t="s">
        <v>252</v>
      </c>
      <c r="C136" s="182" t="s">
        <v>93</v>
      </c>
      <c r="D136" s="324">
        <f t="shared" si="20"/>
        <v>0</v>
      </c>
      <c r="E136" s="324"/>
      <c r="F136" s="324"/>
      <c r="G136" s="328"/>
      <c r="H136" s="328"/>
      <c r="I136" s="324"/>
      <c r="J136" s="196">
        <f t="shared" si="21"/>
        <v>0</v>
      </c>
      <c r="K136" s="196"/>
      <c r="L136" s="196"/>
      <c r="M136" s="211"/>
      <c r="N136" s="211"/>
      <c r="O136" s="196"/>
    </row>
    <row r="137" spans="1:16" ht="13.5" thickTop="1" thickBot="1">
      <c r="A137" s="862"/>
      <c r="B137" s="182" t="s">
        <v>253</v>
      </c>
      <c r="C137" s="182" t="s">
        <v>95</v>
      </c>
      <c r="D137" s="330">
        <f t="shared" si="20"/>
        <v>0</v>
      </c>
      <c r="E137" s="380"/>
      <c r="F137" s="331"/>
      <c r="G137" s="326"/>
      <c r="H137" s="326"/>
      <c r="I137" s="324"/>
      <c r="J137" s="213">
        <f t="shared" si="21"/>
        <v>0</v>
      </c>
      <c r="K137" s="383"/>
      <c r="L137" s="320"/>
      <c r="M137" s="209"/>
      <c r="N137" s="209"/>
      <c r="O137" s="196"/>
    </row>
    <row r="138" spans="1:16" ht="13.5" thickTop="1" thickBot="1">
      <c r="A138" s="862"/>
      <c r="B138" s="207"/>
      <c r="C138" s="208" t="s">
        <v>89</v>
      </c>
      <c r="D138" s="326">
        <f t="shared" si="20"/>
        <v>0</v>
      </c>
      <c r="E138" s="327"/>
      <c r="F138" s="327"/>
      <c r="G138" s="326"/>
      <c r="H138" s="326"/>
      <c r="I138" s="327"/>
      <c r="J138" s="209">
        <f t="shared" si="21"/>
        <v>0</v>
      </c>
      <c r="K138" s="210"/>
      <c r="L138" s="210"/>
      <c r="M138" s="209"/>
      <c r="N138" s="209"/>
      <c r="O138" s="210"/>
    </row>
    <row r="139" spans="1:16" ht="13.5" thickTop="1" thickBot="1">
      <c r="A139" s="862"/>
      <c r="B139" s="207"/>
      <c r="C139" s="208" t="s">
        <v>90</v>
      </c>
      <c r="D139" s="326">
        <f t="shared" si="20"/>
        <v>0</v>
      </c>
      <c r="E139" s="327"/>
      <c r="F139" s="327"/>
      <c r="G139" s="327"/>
      <c r="H139" s="326"/>
      <c r="I139" s="326"/>
      <c r="J139" s="209">
        <f t="shared" si="21"/>
        <v>0</v>
      </c>
      <c r="K139" s="210"/>
      <c r="L139" s="210"/>
      <c r="M139" s="210"/>
      <c r="N139" s="209"/>
      <c r="O139" s="209"/>
    </row>
    <row r="140" spans="1:16" ht="13.5" thickTop="1" thickBot="1">
      <c r="A140" s="862"/>
      <c r="B140" s="207"/>
      <c r="C140" s="208" t="s">
        <v>91</v>
      </c>
      <c r="D140" s="326">
        <f t="shared" si="20"/>
        <v>0</v>
      </c>
      <c r="E140" s="327"/>
      <c r="F140" s="327"/>
      <c r="G140" s="327"/>
      <c r="H140" s="327"/>
      <c r="I140" s="326"/>
      <c r="J140" s="209">
        <f t="shared" si="21"/>
        <v>0</v>
      </c>
      <c r="K140" s="210"/>
      <c r="L140" s="210"/>
      <c r="M140" s="210"/>
      <c r="N140" s="210"/>
      <c r="O140" s="209"/>
    </row>
    <row r="141" spans="1:16" ht="13.5" thickTop="1" thickBot="1">
      <c r="A141" s="862"/>
      <c r="B141" s="182" t="s">
        <v>254</v>
      </c>
      <c r="C141" s="182" t="s">
        <v>97</v>
      </c>
      <c r="D141" s="324">
        <f t="shared" si="20"/>
        <v>0</v>
      </c>
      <c r="E141" s="324"/>
      <c r="F141" s="324"/>
      <c r="G141" s="324"/>
      <c r="H141" s="324"/>
      <c r="I141" s="324"/>
      <c r="J141" s="196">
        <f t="shared" si="21"/>
        <v>0</v>
      </c>
      <c r="K141" s="196"/>
      <c r="L141" s="196"/>
      <c r="M141" s="196"/>
      <c r="N141" s="185"/>
      <c r="O141" s="196"/>
    </row>
    <row r="142" spans="1:16" ht="13.5" thickTop="1" thickBot="1">
      <c r="A142" s="862"/>
      <c r="B142" s="182" t="s">
        <v>255</v>
      </c>
      <c r="C142" s="182" t="s">
        <v>99</v>
      </c>
      <c r="D142" s="324">
        <f t="shared" si="20"/>
        <v>0</v>
      </c>
      <c r="E142" s="324"/>
      <c r="F142" s="324"/>
      <c r="G142" s="324"/>
      <c r="H142" s="323"/>
      <c r="I142" s="324"/>
      <c r="J142" s="196">
        <f t="shared" si="21"/>
        <v>0</v>
      </c>
      <c r="K142" s="196"/>
      <c r="L142" s="196"/>
      <c r="M142" s="196"/>
      <c r="N142" s="196"/>
      <c r="O142" s="196"/>
    </row>
    <row r="143" spans="1:16" ht="12.75" customHeight="1" thickTop="1" thickBot="1">
      <c r="A143" s="862"/>
      <c r="B143" s="257" t="s">
        <v>100</v>
      </c>
      <c r="C143" s="257" t="s">
        <v>101</v>
      </c>
      <c r="D143" s="285">
        <f t="shared" si="12"/>
        <v>1134439.3</v>
      </c>
      <c r="E143" s="286">
        <f>SUM(E144:E147)</f>
        <v>0</v>
      </c>
      <c r="F143" s="286">
        <f>SUM(F144:F147)</f>
        <v>370090</v>
      </c>
      <c r="G143" s="286">
        <f>SUM(G144:G147)</f>
        <v>16808.900000000001</v>
      </c>
      <c r="H143" s="286">
        <f>SUM(H144:H147)</f>
        <v>285910.09999999998</v>
      </c>
      <c r="I143" s="285">
        <f>SUM(I144:I147)</f>
        <v>461630.30000000005</v>
      </c>
      <c r="J143" s="285">
        <f t="shared" si="13"/>
        <v>1012328.8589999999</v>
      </c>
      <c r="K143" s="386">
        <f>SUM(K144:K147)</f>
        <v>0</v>
      </c>
      <c r="L143" s="386">
        <f>SUM(L144:L147)</f>
        <v>365011.35400000005</v>
      </c>
      <c r="M143" s="386">
        <f>SUM(M144:M147)</f>
        <v>9311.0069999999996</v>
      </c>
      <c r="N143" s="386">
        <f>SUM(N144:N147)</f>
        <v>242517.815</v>
      </c>
      <c r="O143" s="261">
        <f>SUM(O144:O147)</f>
        <v>395488.68300000002</v>
      </c>
      <c r="P143" s="24"/>
    </row>
    <row r="144" spans="1:16" ht="12.75" customHeight="1" thickTop="1" thickBot="1">
      <c r="A144" s="862"/>
      <c r="B144" s="249" t="s">
        <v>102</v>
      </c>
      <c r="C144" s="250" t="s">
        <v>103</v>
      </c>
      <c r="D144" s="358">
        <f t="shared" si="12"/>
        <v>288251.06612000003</v>
      </c>
      <c r="E144" s="252"/>
      <c r="F144" s="287"/>
      <c r="G144" s="287"/>
      <c r="H144" s="287"/>
      <c r="I144" s="356">
        <f>'1 квартал'!I144+апрель!I144</f>
        <v>288251.06612000003</v>
      </c>
      <c r="J144" s="252">
        <f t="shared" si="13"/>
        <v>273234.63199999998</v>
      </c>
      <c r="K144" s="252"/>
      <c r="L144" s="287"/>
      <c r="M144" s="287"/>
      <c r="N144" s="287"/>
      <c r="O144" s="356">
        <f>'1 квартал'!O144+апрель!O144</f>
        <v>273234.63199999998</v>
      </c>
      <c r="P144" s="24"/>
    </row>
    <row r="145" spans="1:19" ht="12.75" customHeight="1" thickTop="1" thickBot="1">
      <c r="A145" s="862"/>
      <c r="B145" s="249" t="s">
        <v>104</v>
      </c>
      <c r="C145" s="250" t="s">
        <v>206</v>
      </c>
      <c r="D145" s="358"/>
      <c r="E145" s="252"/>
      <c r="F145" s="287"/>
      <c r="G145" s="287"/>
      <c r="H145" s="287"/>
      <c r="I145" s="356">
        <f>'1 квартал'!I145+апрель!I145</f>
        <v>0</v>
      </c>
      <c r="J145" s="252"/>
      <c r="K145" s="252"/>
      <c r="L145" s="287"/>
      <c r="M145" s="287"/>
      <c r="N145" s="287"/>
      <c r="O145" s="356">
        <f>'1 квартал'!O145+апрель!O145</f>
        <v>0</v>
      </c>
      <c r="P145" s="24"/>
    </row>
    <row r="146" spans="1:19" ht="12.75" customHeight="1" thickTop="1" thickBot="1">
      <c r="A146" s="862"/>
      <c r="B146" s="249" t="s">
        <v>106</v>
      </c>
      <c r="C146" s="250" t="s">
        <v>105</v>
      </c>
      <c r="D146" s="358">
        <f t="shared" si="12"/>
        <v>846188.23387999996</v>
      </c>
      <c r="E146" s="356">
        <f>'1 квартал'!E146+апрель!E146</f>
        <v>0</v>
      </c>
      <c r="F146" s="356">
        <f>'1 квартал'!F146+апрель!F146</f>
        <v>370090</v>
      </c>
      <c r="G146" s="356">
        <f>'1 квартал'!G146+апрель!G146</f>
        <v>16808.900000000001</v>
      </c>
      <c r="H146" s="356">
        <f>'1 квартал'!H146+апрель!H146</f>
        <v>285910.09999999998</v>
      </c>
      <c r="I146" s="356">
        <f>'1 квартал'!I146+апрель!I146</f>
        <v>173379.23388000001</v>
      </c>
      <c r="J146" s="252">
        <f t="shared" si="13"/>
        <v>647767.79100000008</v>
      </c>
      <c r="K146" s="252"/>
      <c r="L146" s="356">
        <f>'1 квартал'!L146+апрель!L146</f>
        <v>365011.35400000005</v>
      </c>
      <c r="M146" s="356">
        <f>'1 квартал'!M146+апрель!M146</f>
        <v>8699.4269999999997</v>
      </c>
      <c r="N146" s="356">
        <f>'1 квартал'!N146+апрель!N146</f>
        <v>171192.269</v>
      </c>
      <c r="O146" s="356">
        <f>'1 квартал'!O146+апрель!O146</f>
        <v>102864.74100000001</v>
      </c>
    </row>
    <row r="147" spans="1:19" ht="12.75" customHeight="1" thickTop="1" thickBot="1">
      <c r="A147" s="862"/>
      <c r="B147" s="249" t="s">
        <v>207</v>
      </c>
      <c r="C147" s="250" t="s">
        <v>107</v>
      </c>
      <c r="D147" s="358">
        <f t="shared" si="12"/>
        <v>0</v>
      </c>
      <c r="E147" s="356">
        <f>'1 квартал'!E147+апрель!E147</f>
        <v>0</v>
      </c>
      <c r="F147" s="356">
        <f>'1 квартал'!F147+апрель!F147</f>
        <v>0</v>
      </c>
      <c r="G147" s="356">
        <f>'1 квартал'!G147+апрель!G147</f>
        <v>0</v>
      </c>
      <c r="H147" s="356">
        <f>'1 квартал'!H147+апрель!H147</f>
        <v>0</v>
      </c>
      <c r="I147" s="356">
        <f>'1 квартал'!I147+апрель!I147</f>
        <v>0</v>
      </c>
      <c r="J147" s="604">
        <f t="shared" si="13"/>
        <v>91326.436000000002</v>
      </c>
      <c r="K147" s="333">
        <f>'1 квартал'!K147+апрель!K147</f>
        <v>0</v>
      </c>
      <c r="L147" s="333">
        <f>'1 квартал'!L147+апрель!L147</f>
        <v>0</v>
      </c>
      <c r="M147" s="333">
        <f>'1 квартал'!M147+апрель!M147</f>
        <v>611.57999999999993</v>
      </c>
      <c r="N147" s="333">
        <f>'1 квартал'!N147+апрель!N147</f>
        <v>71325.546000000002</v>
      </c>
      <c r="O147" s="333">
        <f>'1 квартал'!O147+апрель!O147</f>
        <v>19389.309999999998</v>
      </c>
    </row>
    <row r="148" spans="1:19" ht="12.75" customHeight="1" thickTop="1" thickBot="1">
      <c r="A148" s="862"/>
      <c r="B148" s="249" t="s">
        <v>108</v>
      </c>
      <c r="C148" s="249" t="s">
        <v>169</v>
      </c>
      <c r="D148" s="291">
        <f>D150/1.18/D143</f>
        <v>1.1798470772787935</v>
      </c>
      <c r="E148" s="596">
        <v>0.93222000000000005</v>
      </c>
      <c r="F148" s="596">
        <v>0.93222000000000005</v>
      </c>
      <c r="G148" s="596">
        <v>1.21035</v>
      </c>
      <c r="H148" s="596">
        <v>1.94818</v>
      </c>
      <c r="I148" s="596">
        <v>2.8441000000000001</v>
      </c>
      <c r="J148" s="291">
        <f>J150/1.18/J143</f>
        <v>1.1322736009050198</v>
      </c>
      <c r="K148" s="596">
        <v>0.93222000000000005</v>
      </c>
      <c r="L148" s="596">
        <v>0.93222000000000005</v>
      </c>
      <c r="M148" s="596">
        <v>1.21035</v>
      </c>
      <c r="N148" s="596">
        <v>1.94818</v>
      </c>
      <c r="O148" s="596">
        <v>2.8441000000000001</v>
      </c>
    </row>
    <row r="149" spans="1:19" ht="12.75" customHeight="1" thickTop="1" thickBot="1">
      <c r="A149" s="862"/>
      <c r="B149" s="249" t="s">
        <v>205</v>
      </c>
      <c r="C149" s="249" t="s">
        <v>169</v>
      </c>
      <c r="D149" s="291"/>
      <c r="E149" s="289"/>
      <c r="F149" s="290"/>
      <c r="G149" s="290"/>
      <c r="H149" s="290"/>
      <c r="I149" s="598">
        <v>1.5637700000000001</v>
      </c>
      <c r="J149" s="291"/>
      <c r="K149" s="289"/>
      <c r="L149" s="290"/>
      <c r="M149" s="290"/>
      <c r="N149" s="290"/>
      <c r="O149" s="598">
        <v>1.5637700000000001</v>
      </c>
    </row>
    <row r="150" spans="1:19" ht="12.75" customHeight="1" thickTop="1" thickBot="1">
      <c r="A150" s="862"/>
      <c r="B150" s="249" t="s">
        <v>109</v>
      </c>
      <c r="C150" s="292" t="s">
        <v>110</v>
      </c>
      <c r="D150" s="286">
        <f>SUM(E150:I150)</f>
        <v>1579388.5730971363</v>
      </c>
      <c r="E150" s="478">
        <f>'1 квартал'!E150+апрель!E150</f>
        <v>0</v>
      </c>
      <c r="F150" s="478">
        <f>'1 квартал'!F150+апрель!F150</f>
        <v>237650.21117374505</v>
      </c>
      <c r="G150" s="478">
        <f>'1 квартал'!G150+апрель!G150</f>
        <v>17514.460301059997</v>
      </c>
      <c r="H150" s="478">
        <f>'1 квартал'!H150+апрель!H150</f>
        <v>479519.67087093997</v>
      </c>
      <c r="I150" s="478">
        <f>'1 квартал'!I150+апрель!I150</f>
        <v>844704.23075139115</v>
      </c>
      <c r="J150" s="261">
        <f>SUM(K150:O150)</f>
        <v>1352555.2261263998</v>
      </c>
      <c r="K150" s="478">
        <f>'1 квартал'!K150+апрель!K150</f>
        <v>0</v>
      </c>
      <c r="L150" s="478">
        <f>'1 квартал'!L150+апрель!L150</f>
        <v>239444.24453399997</v>
      </c>
      <c r="M150" s="478">
        <f>'1 квартал'!M150+апрель!M150</f>
        <v>9608.9335436000001</v>
      </c>
      <c r="N150" s="478">
        <f>'1 квартал'!N150+апрель!N150</f>
        <v>402973.01497079997</v>
      </c>
      <c r="O150" s="478">
        <f>'1 квартал'!O150+апрель!O150</f>
        <v>700529.03307799995</v>
      </c>
      <c r="Q150" s="24"/>
    </row>
    <row r="151" spans="1:19" ht="12.75" customHeight="1" thickTop="1" thickBot="1">
      <c r="A151" s="863" t="s">
        <v>111</v>
      </c>
      <c r="B151" s="220" t="s">
        <v>112</v>
      </c>
      <c r="C151" s="221" t="s">
        <v>113</v>
      </c>
      <c r="D151" s="447">
        <f>SUM(E151:I151)</f>
        <v>287870</v>
      </c>
      <c r="E151" s="222">
        <f>E44-E34-E46</f>
        <v>0</v>
      </c>
      <c r="F151" s="222">
        <f>F44-F34-F46</f>
        <v>45780</v>
      </c>
      <c r="G151" s="222">
        <f>G44-G34-G46</f>
        <v>21970</v>
      </c>
      <c r="H151" s="222">
        <f>H44-H34-H46</f>
        <v>82880</v>
      </c>
      <c r="I151" s="222">
        <f>I44-I34-I46</f>
        <v>137240</v>
      </c>
      <c r="J151" s="379">
        <f>SUM(K151:O151)</f>
        <v>338841.511</v>
      </c>
      <c r="K151" s="613">
        <f>K44-K34-K46</f>
        <v>0</v>
      </c>
      <c r="L151" s="613">
        <f>L44-L34-L46</f>
        <v>44517.001400000008</v>
      </c>
      <c r="M151" s="613">
        <f>M44-M34-M46</f>
        <v>18630.616999999929</v>
      </c>
      <c r="N151" s="613">
        <f>N44-N34-N46</f>
        <v>76509.752600000123</v>
      </c>
      <c r="O151" s="613">
        <f>O44-O34-O46</f>
        <v>199184.13999999996</v>
      </c>
    </row>
    <row r="152" spans="1:19" ht="12.75" customHeight="1" thickTop="1" thickBot="1">
      <c r="A152" s="863"/>
      <c r="B152" s="234" t="s">
        <v>114</v>
      </c>
      <c r="C152" s="179" t="s">
        <v>115</v>
      </c>
      <c r="D152" s="346">
        <f t="shared" ref="D152:J152" si="22">IF(D44=0,0,D151/D44*100)</f>
        <v>20.050846277077383</v>
      </c>
      <c r="E152" s="346">
        <f t="shared" si="22"/>
        <v>0</v>
      </c>
      <c r="F152" s="346">
        <f t="shared" si="22"/>
        <v>4.2952440820768789</v>
      </c>
      <c r="G152" s="346">
        <f t="shared" si="22"/>
        <v>4.9840971683431565</v>
      </c>
      <c r="H152" s="346">
        <f t="shared" si="22"/>
        <v>7.7927694983780729</v>
      </c>
      <c r="I152" s="346">
        <f t="shared" si="22"/>
        <v>22.708695292462977</v>
      </c>
      <c r="J152" s="346">
        <f t="shared" si="22"/>
        <v>24.931276797554077</v>
      </c>
      <c r="K152" s="346">
        <f>IF(K44=0,0,K151/K44*100)</f>
        <v>0</v>
      </c>
      <c r="L152" s="346">
        <f t="shared" ref="L152:O152" si="23">IF(L44=0,0,L151/L44*100)</f>
        <v>4.2222983111225565</v>
      </c>
      <c r="M152" s="346">
        <f t="shared" si="23"/>
        <v>4.8939826021501647</v>
      </c>
      <c r="N152" s="346">
        <f t="shared" si="23"/>
        <v>7.5395175942822563</v>
      </c>
      <c r="O152" s="346">
        <f t="shared" si="23"/>
        <v>33.159537716507913</v>
      </c>
    </row>
    <row r="153" spans="1:19" ht="12.75" customHeight="1" thickTop="1" thickBot="1">
      <c r="A153" s="863"/>
      <c r="B153" s="234" t="s">
        <v>116</v>
      </c>
      <c r="C153" s="179" t="s">
        <v>117</v>
      </c>
      <c r="D153" s="346">
        <f t="shared" ref="D153:J153" si="24">IF(D45=0,0,D151/D45*100)</f>
        <v>20.050846277077383</v>
      </c>
      <c r="E153" s="346">
        <f t="shared" si="24"/>
        <v>0</v>
      </c>
      <c r="F153" s="346">
        <f t="shared" si="24"/>
        <v>4.2952440820768789</v>
      </c>
      <c r="G153" s="346">
        <f t="shared" si="24"/>
        <v>5.1530323965541056</v>
      </c>
      <c r="H153" s="346">
        <f t="shared" si="24"/>
        <v>8.5156217169314061</v>
      </c>
      <c r="I153" s="346">
        <f t="shared" si="24"/>
        <v>22.916481248109982</v>
      </c>
      <c r="J153" s="346">
        <f t="shared" si="24"/>
        <v>24.931276797554077</v>
      </c>
      <c r="K153" s="346">
        <f>IF(K45=0,0,K151/K45*100)</f>
        <v>0</v>
      </c>
      <c r="L153" s="346">
        <f t="shared" ref="L153:O153" si="25">IF(L45=0,0,L151/L45*100)</f>
        <v>4.2222983111225565</v>
      </c>
      <c r="M153" s="346">
        <f t="shared" si="25"/>
        <v>5.0701127930204795</v>
      </c>
      <c r="N153" s="346">
        <f t="shared" si="25"/>
        <v>8.3180371318521864</v>
      </c>
      <c r="O153" s="346">
        <f t="shared" si="25"/>
        <v>33.494744050208588</v>
      </c>
    </row>
    <row r="154" spans="1:19" ht="12.75" customHeight="1" thickTop="1" thickBot="1">
      <c r="A154" s="863"/>
      <c r="B154" s="224" t="s">
        <v>118</v>
      </c>
      <c r="C154" s="225" t="s">
        <v>209</v>
      </c>
      <c r="D154" s="442">
        <f>SUM(E154:I154)</f>
        <v>17964.738353719138</v>
      </c>
      <c r="E154" s="442"/>
      <c r="F154" s="356">
        <f>'1 квартал'!F154+апрель!F154</f>
        <v>17964.738353719138</v>
      </c>
      <c r="G154" s="442"/>
      <c r="H154" s="442"/>
      <c r="I154" s="442"/>
      <c r="J154" s="442">
        <f>SUM(K154:O154)</f>
        <v>16009.535775999997</v>
      </c>
      <c r="K154" s="442">
        <v>0</v>
      </c>
      <c r="L154" s="356">
        <f>'1 квартал'!L154+апрель!L154</f>
        <v>16009.535775999997</v>
      </c>
      <c r="M154" s="442">
        <v>0</v>
      </c>
      <c r="N154" s="442">
        <v>0</v>
      </c>
      <c r="O154" s="442">
        <v>0</v>
      </c>
    </row>
    <row r="155" spans="1:19" ht="12.75" customHeight="1" thickTop="1" thickBot="1">
      <c r="A155" s="863"/>
      <c r="B155" s="227" t="s">
        <v>120</v>
      </c>
      <c r="C155" s="186" t="s">
        <v>121</v>
      </c>
      <c r="D155" s="443">
        <f>SUM(E155:I155)</f>
        <v>287870</v>
      </c>
      <c r="E155" s="448">
        <f>E151</f>
        <v>0</v>
      </c>
      <c r="F155" s="448">
        <f>F151</f>
        <v>45780</v>
      </c>
      <c r="G155" s="448">
        <f>G151</f>
        <v>21970</v>
      </c>
      <c r="H155" s="448">
        <f>H151</f>
        <v>82880</v>
      </c>
      <c r="I155" s="448">
        <f>I151</f>
        <v>137240</v>
      </c>
      <c r="J155" s="448">
        <f>SUM(K155:O155)</f>
        <v>338841.511</v>
      </c>
      <c r="K155" s="448">
        <f>K151</f>
        <v>0</v>
      </c>
      <c r="L155" s="448">
        <f>L151</f>
        <v>44517.001400000008</v>
      </c>
      <c r="M155" s="448">
        <f>M151</f>
        <v>18630.616999999929</v>
      </c>
      <c r="N155" s="448">
        <f>N151</f>
        <v>76509.752600000123</v>
      </c>
      <c r="O155" s="448">
        <f>O151</f>
        <v>199184.13999999996</v>
      </c>
    </row>
    <row r="156" spans="1:19" ht="12.75" customHeight="1" thickTop="1" thickBot="1">
      <c r="A156" s="863"/>
      <c r="B156" s="227" t="s">
        <v>122</v>
      </c>
      <c r="C156" s="186" t="s">
        <v>167</v>
      </c>
      <c r="D156" s="444">
        <f>D157/1.18/D155</f>
        <v>1.6087567530021856</v>
      </c>
      <c r="E156" s="341">
        <v>1.6087567530021858</v>
      </c>
      <c r="F156" s="341">
        <v>1.6087567530021858</v>
      </c>
      <c r="G156" s="341">
        <v>1.6087567530021858</v>
      </c>
      <c r="H156" s="341">
        <v>1.6087567530021858</v>
      </c>
      <c r="I156" s="341">
        <v>1.6087567530021858</v>
      </c>
      <c r="J156" s="444">
        <f>J157/1.18/J155</f>
        <v>1.4839341709522671</v>
      </c>
      <c r="K156" s="341">
        <v>1.4839341709522671</v>
      </c>
      <c r="L156" s="341">
        <v>1.4839341709522671</v>
      </c>
      <c r="M156" s="341">
        <v>1.4839341709522671</v>
      </c>
      <c r="N156" s="341">
        <v>1.4839341709522671</v>
      </c>
      <c r="O156" s="341">
        <v>1.4839341709522671</v>
      </c>
    </row>
    <row r="157" spans="1:19" ht="12.75" customHeight="1" thickTop="1" thickBot="1">
      <c r="A157" s="863"/>
      <c r="B157" s="227" t="s">
        <v>124</v>
      </c>
      <c r="C157" s="186" t="s">
        <v>168</v>
      </c>
      <c r="D157" s="443">
        <f>SUM(E157:I157)</f>
        <v>546473.11165435216</v>
      </c>
      <c r="E157" s="443">
        <f>E155*E156*1.18</f>
        <v>0</v>
      </c>
      <c r="F157" s="443">
        <f>F155*F156*1.18</f>
        <v>86905.683299879267</v>
      </c>
      <c r="G157" s="443">
        <f>G155*G156*1.18</f>
        <v>41706.375318880469</v>
      </c>
      <c r="H157" s="443">
        <f>H155*H156*1.18</f>
        <v>157333.83643280895</v>
      </c>
      <c r="I157" s="443">
        <f>I155*I156*1.18</f>
        <v>260527.21660278353</v>
      </c>
      <c r="J157" s="448">
        <f>SUM(K157:O157)</f>
        <v>593325.82611779822</v>
      </c>
      <c r="K157" s="448">
        <f>K155*K156*1.18</f>
        <v>0</v>
      </c>
      <c r="L157" s="448">
        <f>L155*L156*1.18</f>
        <v>77951.153487632109</v>
      </c>
      <c r="M157" s="448">
        <f>M155*M156*1.18</f>
        <v>32622.998846824448</v>
      </c>
      <c r="N157" s="448">
        <f>N155*N156*1.18</f>
        <v>133971.8148272082</v>
      </c>
      <c r="O157" s="448">
        <f>O155*O156*1.18</f>
        <v>348779.85895613348</v>
      </c>
    </row>
    <row r="158" spans="1:19" ht="12.75" customHeight="1" thickTop="1" thickBot="1">
      <c r="A158" s="863"/>
      <c r="B158" s="229" t="s">
        <v>126</v>
      </c>
      <c r="C158" s="225" t="s">
        <v>127</v>
      </c>
      <c r="D158" s="445">
        <f>SUM(E158:I158)</f>
        <v>274980</v>
      </c>
      <c r="E158" s="356">
        <f>'1 квартал'!E158+апрель!E158</f>
        <v>0</v>
      </c>
      <c r="F158" s="356">
        <f>'1 квартал'!F158+апрель!F158</f>
        <v>45780</v>
      </c>
      <c r="G158" s="356">
        <f>'1 квартал'!G158+апрель!G158</f>
        <v>21970</v>
      </c>
      <c r="H158" s="356">
        <f>'1 квартал'!H158+апрель!H158</f>
        <v>82880</v>
      </c>
      <c r="I158" s="356">
        <f>'1 квартал'!I158+апрель!I158</f>
        <v>124350</v>
      </c>
      <c r="J158" s="442">
        <f>SUM(K158:O158)</f>
        <v>261337.07299999995</v>
      </c>
      <c r="K158" s="356">
        <f>'1 квартал'!K158+апрель!K158</f>
        <v>0</v>
      </c>
      <c r="L158" s="356">
        <f>'1 квартал'!L158+апрель!L158</f>
        <v>44517.001400000008</v>
      </c>
      <c r="M158" s="356">
        <f>'1 квартал'!M158+апрель!M158</f>
        <v>18630.616999999977</v>
      </c>
      <c r="N158" s="356">
        <f>'1 квартал'!N158+апрель!N158</f>
        <v>76509.752599999978</v>
      </c>
      <c r="O158" s="356">
        <f>'1 квартал'!O158+апрель!O158</f>
        <v>121679.70199999999</v>
      </c>
    </row>
    <row r="159" spans="1:19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26">IF(D44=0,0,D158/D44*100)</f>
        <v>19.153026398272619</v>
      </c>
      <c r="E159" s="345">
        <f t="shared" si="26"/>
        <v>0</v>
      </c>
      <c r="F159" s="345">
        <f t="shared" si="26"/>
        <v>4.2952440820768789</v>
      </c>
      <c r="G159" s="345">
        <f t="shared" si="26"/>
        <v>4.9840971683431565</v>
      </c>
      <c r="H159" s="345">
        <f t="shared" si="26"/>
        <v>7.7927694983780729</v>
      </c>
      <c r="I159" s="345">
        <f t="shared" si="26"/>
        <v>20.575825266815588</v>
      </c>
      <c r="J159" s="345">
        <f t="shared" si="26"/>
        <v>19.228656150177521</v>
      </c>
      <c r="K159" s="345">
        <f>IF(K44=0,0,K158/K44*100)</f>
        <v>0</v>
      </c>
      <c r="L159" s="345">
        <f t="shared" si="26"/>
        <v>4.2222983111225565</v>
      </c>
      <c r="M159" s="345">
        <f t="shared" si="26"/>
        <v>4.8939826021501771</v>
      </c>
      <c r="N159" s="345">
        <f t="shared" si="26"/>
        <v>7.539517594282243</v>
      </c>
      <c r="O159" s="345">
        <f t="shared" si="26"/>
        <v>20.256847095368357</v>
      </c>
      <c r="P159" s="25"/>
      <c r="Q159" s="25"/>
      <c r="R159" s="25"/>
      <c r="S159" s="25"/>
    </row>
    <row r="160" spans="1:19" ht="12.75" customHeight="1" thickTop="1" thickBot="1">
      <c r="A160" s="863"/>
      <c r="B160" s="230" t="s">
        <v>130</v>
      </c>
      <c r="C160" s="225" t="s">
        <v>131</v>
      </c>
      <c r="D160" s="446">
        <f t="shared" ref="D160" si="27">IF(D45=0,0,D158/D45*100)</f>
        <v>19.153026398272619</v>
      </c>
      <c r="E160" s="446">
        <f>IF(E45=0,0,E158/E45*100)</f>
        <v>0</v>
      </c>
      <c r="F160" s="446">
        <f t="shared" ref="F160:O160" si="28">IF(F45=0,0,F158/F45*100)</f>
        <v>4.2952440820768789</v>
      </c>
      <c r="G160" s="446">
        <f t="shared" si="28"/>
        <v>5.1530323965541056</v>
      </c>
      <c r="H160" s="446">
        <f t="shared" si="28"/>
        <v>8.5156217169314061</v>
      </c>
      <c r="I160" s="446">
        <f t="shared" si="28"/>
        <v>20.764095330825388</v>
      </c>
      <c r="J160" s="446">
        <f t="shared" si="28"/>
        <v>19.228656150177521</v>
      </c>
      <c r="K160" s="446">
        <f t="shared" si="28"/>
        <v>0</v>
      </c>
      <c r="L160" s="446">
        <f t="shared" si="28"/>
        <v>4.2222983111225565</v>
      </c>
      <c r="M160" s="446">
        <f t="shared" si="28"/>
        <v>5.0701127930204919</v>
      </c>
      <c r="N160" s="446">
        <f t="shared" si="28"/>
        <v>8.3180371318521704</v>
      </c>
      <c r="O160" s="446">
        <f t="shared" si="28"/>
        <v>20.461621465422173</v>
      </c>
      <c r="P160" s="25"/>
      <c r="Q160" s="25"/>
      <c r="R160" s="25"/>
      <c r="S160" s="25"/>
    </row>
    <row r="161" spans="1:15" ht="12.75" customHeight="1" thickTop="1" thickBot="1">
      <c r="A161" s="863"/>
      <c r="B161" s="231" t="s">
        <v>132</v>
      </c>
      <c r="C161" s="186" t="s">
        <v>133</v>
      </c>
      <c r="D161" s="443">
        <f>SUM(E161:I161)</f>
        <v>12890</v>
      </c>
      <c r="E161" s="251">
        <f>E151-E158</f>
        <v>0</v>
      </c>
      <c r="F161" s="448">
        <f>F151-F158</f>
        <v>0</v>
      </c>
      <c r="G161" s="448">
        <f>G151-G158</f>
        <v>0</v>
      </c>
      <c r="H161" s="448">
        <f>H151-H158</f>
        <v>0</v>
      </c>
      <c r="I161" s="448">
        <f>I151-I158</f>
        <v>12890</v>
      </c>
      <c r="J161" s="448">
        <f>SUM(K161:O161)</f>
        <v>77504.438000000067</v>
      </c>
      <c r="K161" s="251">
        <f>K151-K158</f>
        <v>0</v>
      </c>
      <c r="L161" s="448">
        <f>L151-L158</f>
        <v>0</v>
      </c>
      <c r="M161" s="448">
        <f>M151-M158</f>
        <v>-4.7293724492192268E-11</v>
      </c>
      <c r="N161" s="448">
        <f>N151-N158</f>
        <v>1.4551915228366852E-10</v>
      </c>
      <c r="O161" s="448">
        <f>O151-O158</f>
        <v>77504.437999999966</v>
      </c>
    </row>
    <row r="162" spans="1:15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0.89781987880476422</v>
      </c>
      <c r="E162" s="347">
        <f t="shared" ref="E162:I162" si="29">IF(E44=0,0,E161/E44*100)</f>
        <v>0</v>
      </c>
      <c r="F162" s="347">
        <f t="shared" si="29"/>
        <v>0</v>
      </c>
      <c r="G162" s="347">
        <f t="shared" si="29"/>
        <v>0</v>
      </c>
      <c r="H162" s="347">
        <f t="shared" si="29"/>
        <v>0</v>
      </c>
      <c r="I162" s="347">
        <f t="shared" si="29"/>
        <v>2.1328700256473896</v>
      </c>
      <c r="J162" s="347">
        <f>IF(J44=0,0,J161/J44*100)</f>
        <v>5.7026206473765555</v>
      </c>
      <c r="K162" s="347">
        <f>IF(K44=0,0,K161/K44*100)</f>
        <v>0</v>
      </c>
      <c r="L162" s="347">
        <f t="shared" ref="L162:O162" si="30">IF(L44=0,0,L161/L44*100)</f>
        <v>0</v>
      </c>
      <c r="M162" s="347">
        <f t="shared" si="30"/>
        <v>-1.2423349417556755E-14</v>
      </c>
      <c r="N162" s="347">
        <f t="shared" si="30"/>
        <v>1.4339926240302026E-14</v>
      </c>
      <c r="O162" s="347">
        <f t="shared" si="30"/>
        <v>12.902690621139559</v>
      </c>
    </row>
    <row r="163" spans="1:15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0.89781987880476422</v>
      </c>
      <c r="E163" s="347">
        <f t="shared" ref="E163:O163" si="31">IF(E45=0,0,E161/E45*100)</f>
        <v>0</v>
      </c>
      <c r="F163" s="347">
        <f t="shared" si="31"/>
        <v>0</v>
      </c>
      <c r="G163" s="347">
        <f t="shared" si="31"/>
        <v>0</v>
      </c>
      <c r="H163" s="347">
        <f t="shared" si="31"/>
        <v>0</v>
      </c>
      <c r="I163" s="347">
        <f t="shared" si="31"/>
        <v>2.1523859172845938</v>
      </c>
      <c r="J163" s="347">
        <f t="shared" si="31"/>
        <v>5.7026206473765555</v>
      </c>
      <c r="K163" s="347">
        <f t="shared" si="31"/>
        <v>0</v>
      </c>
      <c r="L163" s="347">
        <f t="shared" si="31"/>
        <v>0</v>
      </c>
      <c r="M163" s="347">
        <f t="shared" si="31"/>
        <v>-1.2870454992309212E-14</v>
      </c>
      <c r="N163" s="347">
        <f t="shared" si="31"/>
        <v>1.5820646008613622E-14</v>
      </c>
      <c r="O163" s="347">
        <f t="shared" si="31"/>
        <v>13.033122584786419</v>
      </c>
    </row>
    <row r="164" spans="1:15">
      <c r="A164" s="94" t="s">
        <v>210</v>
      </c>
      <c r="D164" s="95"/>
      <c r="E164" s="95"/>
      <c r="F164" s="95"/>
      <c r="G164" s="95"/>
      <c r="H164" s="95"/>
      <c r="I164" s="95"/>
      <c r="J164" s="348"/>
      <c r="K164" s="348"/>
      <c r="L164" s="348"/>
      <c r="M164" s="348"/>
      <c r="N164" s="348"/>
      <c r="O164" s="348"/>
    </row>
    <row r="165" spans="1:15" ht="12.75" thickBot="1">
      <c r="D165" s="95"/>
      <c r="E165" s="93"/>
      <c r="F165" s="342"/>
      <c r="G165" s="342"/>
      <c r="H165" s="342"/>
      <c r="I165" s="342"/>
      <c r="J165" s="348"/>
      <c r="K165" s="348"/>
      <c r="L165" s="342"/>
      <c r="M165" s="342"/>
      <c r="N165" s="342"/>
      <c r="O165" s="342"/>
    </row>
    <row r="166" spans="1:15" ht="12.75" customHeight="1" thickBot="1">
      <c r="B166" s="854" t="s">
        <v>138</v>
      </c>
      <c r="C166" s="855" t="s">
        <v>139</v>
      </c>
      <c r="D166" s="842" t="s">
        <v>140</v>
      </c>
      <c r="E166" s="843"/>
      <c r="F166" s="843"/>
      <c r="G166" s="843"/>
      <c r="H166" s="843"/>
      <c r="I166" s="844"/>
      <c r="J166" s="842" t="s">
        <v>140</v>
      </c>
      <c r="K166" s="843"/>
      <c r="L166" s="843"/>
      <c r="M166" s="843"/>
      <c r="N166" s="843"/>
      <c r="O166" s="844"/>
    </row>
    <row r="167" spans="1:15">
      <c r="B167" s="854"/>
      <c r="C167" s="855"/>
      <c r="D167" s="96" t="s">
        <v>141</v>
      </c>
      <c r="E167" s="97"/>
      <c r="F167" s="97" t="s">
        <v>5</v>
      </c>
      <c r="G167" s="98" t="s">
        <v>74</v>
      </c>
      <c r="H167" s="98" t="s">
        <v>76</v>
      </c>
      <c r="I167" s="99" t="s">
        <v>8</v>
      </c>
      <c r="J167" s="96" t="s">
        <v>141</v>
      </c>
      <c r="K167" s="97"/>
      <c r="L167" s="97" t="s">
        <v>5</v>
      </c>
      <c r="M167" s="98" t="s">
        <v>74</v>
      </c>
      <c r="N167" s="98" t="s">
        <v>76</v>
      </c>
      <c r="O167" s="99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>
        <f>D174+D175+D176</f>
        <v>1435700</v>
      </c>
      <c r="E169" s="35"/>
      <c r="F169" s="36">
        <f>F170+F174+F175+F176</f>
        <v>1065830</v>
      </c>
      <c r="G169" s="36">
        <f>G170+G174+G175+G176</f>
        <v>427722</v>
      </c>
      <c r="H169" s="36">
        <f>H170+H174+H175+H176</f>
        <v>979810</v>
      </c>
      <c r="I169" s="37">
        <f>I170+I174+I175+I176</f>
        <v>604350</v>
      </c>
      <c r="J169" s="34">
        <f>J174+J175+J176</f>
        <v>1359102.1180000002</v>
      </c>
      <c r="K169" s="35"/>
      <c r="L169" s="36">
        <f>L170+L174+L175+L176</f>
        <v>1054331.0330000001</v>
      </c>
      <c r="M169" s="36">
        <f>M170+M174+M175+M176</f>
        <v>367459.61599999998</v>
      </c>
      <c r="N169" s="36">
        <f>N170+N174+N175+N176</f>
        <v>921725.6366000002</v>
      </c>
      <c r="O169" s="37">
        <f>O170+O174+O175+O176</f>
        <v>600684.30900000001</v>
      </c>
    </row>
    <row r="170" spans="1:15" ht="12.75">
      <c r="B170" s="38" t="s">
        <v>12</v>
      </c>
      <c r="C170" s="39" t="s">
        <v>143</v>
      </c>
      <c r="D170" s="675">
        <f t="shared" ref="D170:D177" si="32">SUM(F170:I170)</f>
        <v>1642012</v>
      </c>
      <c r="E170" s="676"/>
      <c r="F170" s="676"/>
      <c r="G170" s="677">
        <f>SUM(G171:G173)</f>
        <v>206892</v>
      </c>
      <c r="H170" s="677">
        <f>SUM(H171:H173)</f>
        <v>830640</v>
      </c>
      <c r="I170" s="678">
        <f>SUM(I171:I173)</f>
        <v>604480</v>
      </c>
      <c r="J170" s="675">
        <f t="shared" ref="J170:J177" si="33">SUM(L170:O170)</f>
        <v>1585098.4766000002</v>
      </c>
      <c r="K170" s="676"/>
      <c r="L170" s="676"/>
      <c r="M170" s="677">
        <f>SUM(M171:M173)</f>
        <v>200854.85199999996</v>
      </c>
      <c r="N170" s="677">
        <f>SUM(N171:N173)</f>
        <v>783465.81760000018</v>
      </c>
      <c r="O170" s="678">
        <f>SUM(O171:O173)</f>
        <v>600777.80700000003</v>
      </c>
    </row>
    <row r="171" spans="1:15" ht="12.75">
      <c r="B171" s="40" t="s">
        <v>144</v>
      </c>
      <c r="C171" s="41" t="s">
        <v>145</v>
      </c>
      <c r="D171" s="42">
        <f t="shared" si="32"/>
        <v>649960</v>
      </c>
      <c r="E171" s="43"/>
      <c r="F171" s="44"/>
      <c r="G171" s="45">
        <f>G31-G49-G61-G73-G85-G97-G78-G109-G121-G54-G66-G90-G102-G114-G126</f>
        <v>206892</v>
      </c>
      <c r="H171" s="45">
        <f>H31-H49-H61-H73-H85-H97-H78-H54-H109-H66-H90-H102-H114-H121-H126</f>
        <v>443068</v>
      </c>
      <c r="I171" s="46"/>
      <c r="J171" s="42">
        <f t="shared" si="33"/>
        <v>644802.67760000005</v>
      </c>
      <c r="K171" s="43"/>
      <c r="L171" s="44"/>
      <c r="M171" s="45">
        <f>M31-M49-M61-M73-M85-M97-M78-M109-M121-M54-M66-M90-M102-M114-M126</f>
        <v>200854.85199999996</v>
      </c>
      <c r="N171" s="45">
        <f>N31-N49-N61-N73-N85-N97-N78-N54-N109-N66-N90-N102-N114-N121-N126</f>
        <v>443947.8256000001</v>
      </c>
      <c r="O171" s="46"/>
    </row>
    <row r="172" spans="1:15" ht="12.75">
      <c r="B172" s="47" t="s">
        <v>146</v>
      </c>
      <c r="C172" s="48" t="s">
        <v>6</v>
      </c>
      <c r="D172" s="42">
        <f t="shared" si="32"/>
        <v>387572</v>
      </c>
      <c r="E172" s="43"/>
      <c r="F172" s="44"/>
      <c r="G172" s="49"/>
      <c r="H172" s="45">
        <f>H32-H50-H62-H74-H86-H98-H110-H55-H67-H79-H91-H103-H115-H122-H127</f>
        <v>387572</v>
      </c>
      <c r="I172" s="50">
        <f>I32-I50-I55-I62-I67-I74-I79-I86-I91-I98-I103-I110-I115-I122-I127</f>
        <v>0</v>
      </c>
      <c r="J172" s="42">
        <f t="shared" si="33"/>
        <v>339517.99200000009</v>
      </c>
      <c r="K172" s="43"/>
      <c r="L172" s="44"/>
      <c r="M172" s="49"/>
      <c r="N172" s="45">
        <f>N32-N50-N62-N74-N86-N98-N110-N55-N67-N79-N91-N103-N115-N122-N127</f>
        <v>339517.99200000009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>
        <f t="shared" si="32"/>
        <v>604480</v>
      </c>
      <c r="E173" s="54"/>
      <c r="F173" s="55"/>
      <c r="G173" s="56"/>
      <c r="H173" s="56"/>
      <c r="I173" s="57">
        <f>I33-I51-I87-I75-I99-I111-I56-I63-I68-I80-I92-I104-I116-I123-I128</f>
        <v>604480</v>
      </c>
      <c r="J173" s="53">
        <f t="shared" si="33"/>
        <v>600777.80700000003</v>
      </c>
      <c r="K173" s="54"/>
      <c r="L173" s="55"/>
      <c r="M173" s="56"/>
      <c r="N173" s="56"/>
      <c r="O173" s="57">
        <f>O33-O51-O87-O75-O99-O111-O56-O63-O68-O80-O92-O104-O116-O123-O128</f>
        <v>600777.80700000003</v>
      </c>
    </row>
    <row r="174" spans="1:15" ht="12.75">
      <c r="B174" s="58" t="s">
        <v>14</v>
      </c>
      <c r="C174" s="39" t="s">
        <v>148</v>
      </c>
      <c r="D174" s="110">
        <f t="shared" si="32"/>
        <v>893185</v>
      </c>
      <c r="E174" s="111"/>
      <c r="F174" s="111">
        <f>F28+E28</f>
        <v>732785</v>
      </c>
      <c r="G174" s="112">
        <f>G28</f>
        <v>147470</v>
      </c>
      <c r="H174" s="112">
        <f>H28</f>
        <v>12930</v>
      </c>
      <c r="I174" s="113">
        <f>I28</f>
        <v>0</v>
      </c>
      <c r="J174" s="110">
        <f t="shared" si="33"/>
        <v>979202.60000000009</v>
      </c>
      <c r="K174" s="111"/>
      <c r="L174" s="111">
        <f>L28+K28</f>
        <v>856320.64300000004</v>
      </c>
      <c r="M174" s="112">
        <f>M28</f>
        <v>111716.356</v>
      </c>
      <c r="N174" s="112">
        <f>N28</f>
        <v>11165.600999999999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>
        <f t="shared" si="32"/>
        <v>533515</v>
      </c>
      <c r="E175" s="124"/>
      <c r="F175" s="125">
        <f>F23+F24+F25+E23+E24+E25</f>
        <v>333045</v>
      </c>
      <c r="G175" s="125">
        <f>G23+G24+G25</f>
        <v>64360</v>
      </c>
      <c r="H175" s="125">
        <f>H23+H24+H25</f>
        <v>136240</v>
      </c>
      <c r="I175" s="126">
        <f>I23+I24+I25</f>
        <v>-130</v>
      </c>
      <c r="J175" s="123">
        <f t="shared" si="33"/>
        <v>378123.71800000005</v>
      </c>
      <c r="K175" s="124"/>
      <c r="L175" s="125">
        <f>L23+L24+L25+K23+K24+K25</f>
        <v>198010.39000000007</v>
      </c>
      <c r="M175" s="125">
        <f>M23+M24+M25</f>
        <v>53112.608</v>
      </c>
      <c r="N175" s="125">
        <f>N23+N24+N25</f>
        <v>127094.21800000001</v>
      </c>
      <c r="O175" s="126">
        <f>O23+O24+O25</f>
        <v>-93.498000000000019</v>
      </c>
    </row>
    <row r="176" spans="1:15" ht="13.5" thickBot="1">
      <c r="B176" s="61" t="s">
        <v>20</v>
      </c>
      <c r="C176" s="62" t="s">
        <v>150</v>
      </c>
      <c r="D176" s="129">
        <f t="shared" si="32"/>
        <v>9000</v>
      </c>
      <c r="E176" s="130"/>
      <c r="F176" s="131">
        <f>F29+E29</f>
        <v>0</v>
      </c>
      <c r="G176" s="131">
        <f>G29</f>
        <v>9000</v>
      </c>
      <c r="H176" s="131">
        <f>H29</f>
        <v>0</v>
      </c>
      <c r="I176" s="132">
        <f>I29</f>
        <v>0</v>
      </c>
      <c r="J176" s="129">
        <f t="shared" si="33"/>
        <v>1775.7999999999993</v>
      </c>
      <c r="K176" s="130"/>
      <c r="L176" s="131">
        <f>L29+K29</f>
        <v>0</v>
      </c>
      <c r="M176" s="131">
        <f>M29</f>
        <v>1775.7999999999993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32"/>
        <v>287869.99999999994</v>
      </c>
      <c r="E177" s="136"/>
      <c r="F177" s="136">
        <f>F169-F180-G171-H171</f>
        <v>45780</v>
      </c>
      <c r="G177" s="136">
        <f>G169-G180-H172-I172</f>
        <v>21970</v>
      </c>
      <c r="H177" s="136">
        <f>H169-H180-I173</f>
        <v>82880</v>
      </c>
      <c r="I177" s="137">
        <f>I169-I180</f>
        <v>137239.99999999994</v>
      </c>
      <c r="J177" s="135">
        <f t="shared" si="33"/>
        <v>338841.51100000012</v>
      </c>
      <c r="K177" s="136"/>
      <c r="L177" s="136">
        <f>L169-L180-M171-N171</f>
        <v>44517.00139999995</v>
      </c>
      <c r="M177" s="136">
        <f>M169-M180-N172-O172</f>
        <v>18630.616999999911</v>
      </c>
      <c r="N177" s="136">
        <f>N169-N180-O173</f>
        <v>76509.75260000024</v>
      </c>
      <c r="O177" s="137">
        <f>O169-O180</f>
        <v>199184.14</v>
      </c>
    </row>
    <row r="178" spans="1:15" ht="13.5" thickBot="1">
      <c r="B178" s="64"/>
      <c r="C178" s="65" t="s">
        <v>152</v>
      </c>
      <c r="D178" s="441">
        <f>IF(D169=0,0,D177/D169*100)</f>
        <v>20.05084627707738</v>
      </c>
      <c r="E178" s="140"/>
      <c r="F178" s="441">
        <f t="shared" ref="F178:I178" si="34">IF(F169=0,0,F177/F169*100)</f>
        <v>4.2952440820768789</v>
      </c>
      <c r="G178" s="441">
        <f t="shared" si="34"/>
        <v>5.1365139038908447</v>
      </c>
      <c r="H178" s="441">
        <f t="shared" si="34"/>
        <v>8.4587828252416291</v>
      </c>
      <c r="I178" s="441">
        <f t="shared" si="34"/>
        <v>22.708695292462966</v>
      </c>
      <c r="J178" s="441">
        <f>IF(J169=0,0,J177/J169*100)</f>
        <v>24.931276797554077</v>
      </c>
      <c r="K178" s="140"/>
      <c r="L178" s="441">
        <f t="shared" ref="L178:O178" si="35">IF(L169=0,0,L177/L169*100)</f>
        <v>4.2222983111225512</v>
      </c>
      <c r="M178" s="441">
        <f t="shared" si="35"/>
        <v>5.070112793020475</v>
      </c>
      <c r="N178" s="441">
        <f t="shared" si="35"/>
        <v>8.3007078855074798</v>
      </c>
      <c r="O178" s="441">
        <f t="shared" si="35"/>
        <v>33.159537716507927</v>
      </c>
    </row>
    <row r="179" spans="1:15" ht="26.25" thickBot="1">
      <c r="B179" s="66" t="s">
        <v>38</v>
      </c>
      <c r="C179" s="67" t="s">
        <v>153</v>
      </c>
      <c r="D179" s="143">
        <f t="shared" ref="D179:D184" si="36">SUM(F179:I179)</f>
        <v>0</v>
      </c>
      <c r="E179" s="144"/>
      <c r="F179" s="144"/>
      <c r="G179" s="145"/>
      <c r="H179" s="145"/>
      <c r="I179" s="146"/>
      <c r="J179" s="143">
        <f t="shared" ref="J179:J184" si="37">SUM(L179:O179)</f>
        <v>0</v>
      </c>
      <c r="K179" s="144"/>
      <c r="L179" s="144"/>
      <c r="M179" s="145"/>
      <c r="N179" s="145"/>
      <c r="O179" s="146"/>
    </row>
    <row r="180" spans="1:15" ht="13.5" thickBot="1">
      <c r="B180" s="68" t="s">
        <v>52</v>
      </c>
      <c r="C180" s="69" t="s">
        <v>154</v>
      </c>
      <c r="D180" s="143">
        <f t="shared" si="36"/>
        <v>1147830</v>
      </c>
      <c r="E180" s="144"/>
      <c r="F180" s="682">
        <f>F143+E143</f>
        <v>370090</v>
      </c>
      <c r="G180" s="682">
        <f>G143+G194</f>
        <v>18180</v>
      </c>
      <c r="H180" s="682">
        <f>H143+H194</f>
        <v>292450</v>
      </c>
      <c r="I180" s="683">
        <f>I143+I194</f>
        <v>467110.00000000006</v>
      </c>
      <c r="J180" s="143">
        <f t="shared" si="37"/>
        <v>1020260.6070000001</v>
      </c>
      <c r="K180" s="144"/>
      <c r="L180" s="682">
        <f>L143+K143</f>
        <v>365011.35400000005</v>
      </c>
      <c r="M180" s="682">
        <f>M143+M194</f>
        <v>9311.0069999999996</v>
      </c>
      <c r="N180" s="682">
        <f>N143+N194</f>
        <v>244438.07699999999</v>
      </c>
      <c r="O180" s="683">
        <f>O143+O194</f>
        <v>401500.16899999999</v>
      </c>
    </row>
    <row r="181" spans="1:15" ht="12.75">
      <c r="B181" s="70" t="s">
        <v>54</v>
      </c>
      <c r="C181" s="71" t="s">
        <v>155</v>
      </c>
      <c r="D181" s="151">
        <f t="shared" si="36"/>
        <v>0</v>
      </c>
      <c r="E181" s="152"/>
      <c r="F181" s="152"/>
      <c r="G181" s="153"/>
      <c r="H181" s="153"/>
      <c r="I181" s="154"/>
      <c r="J181" s="151">
        <f t="shared" si="37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6"/>
        <v>0</v>
      </c>
      <c r="E182" s="158"/>
      <c r="F182" s="159"/>
      <c r="G182" s="159"/>
      <c r="H182" s="159"/>
      <c r="I182" s="160"/>
      <c r="J182" s="157">
        <f t="shared" si="37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6"/>
        <v>0</v>
      </c>
      <c r="E183" s="164"/>
      <c r="F183" s="164"/>
      <c r="G183" s="165"/>
      <c r="H183" s="165"/>
      <c r="I183" s="166"/>
      <c r="J183" s="163">
        <f t="shared" si="37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6"/>
        <v>0</v>
      </c>
      <c r="E184" s="111"/>
      <c r="F184" s="111"/>
      <c r="G184" s="112"/>
      <c r="H184" s="112"/>
      <c r="I184" s="113"/>
      <c r="J184" s="110">
        <f t="shared" si="37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8" spans="1:15" ht="12.75" customHeight="1">
      <c r="A188" s="832" t="s">
        <v>194</v>
      </c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483"/>
      <c r="B194" s="484"/>
      <c r="C194" s="483" t="s">
        <v>193</v>
      </c>
      <c r="D194" s="483"/>
      <c r="E194" s="520"/>
      <c r="F194" s="483"/>
      <c r="G194" s="521">
        <f>'1 квартал'!G194+апрель!G194</f>
        <v>1371.1</v>
      </c>
      <c r="H194" s="521">
        <f>'1 квартал'!H194+апрель!H194</f>
        <v>6539.9</v>
      </c>
      <c r="I194" s="521">
        <f>'1 квартал'!I194+апрель!I194</f>
        <v>5479.7</v>
      </c>
      <c r="J194" s="483"/>
      <c r="K194" s="483"/>
      <c r="L194" s="483"/>
      <c r="M194" s="521">
        <f>'1 квартал'!M194+апрель!M194</f>
        <v>0</v>
      </c>
      <c r="N194" s="521">
        <f>'1 квартал'!N194+апрель!N194</f>
        <v>1920.2619999999999</v>
      </c>
      <c r="O194" s="521">
        <f>'1 квартал'!O194+апрель!O194</f>
        <v>6011.4859999999999</v>
      </c>
    </row>
    <row r="195" spans="1:15">
      <c r="A195" s="483"/>
      <c r="B195" s="484"/>
      <c r="C195" s="483" t="s">
        <v>196</v>
      </c>
      <c r="D195" s="483"/>
      <c r="E195" s="520"/>
      <c r="F195" s="521">
        <f>'1 квартал'!F195+апрель!F195</f>
        <v>50307.12675445334</v>
      </c>
      <c r="G195" s="483"/>
      <c r="H195" s="483"/>
      <c r="I195" s="483"/>
      <c r="J195" s="483"/>
      <c r="K195" s="483"/>
      <c r="L195" s="521">
        <f>'1 квартал'!L195+апрель!L195</f>
        <v>43767.947919999999</v>
      </c>
      <c r="M195" s="483"/>
      <c r="N195" s="483"/>
      <c r="O195" s="483"/>
    </row>
    <row r="199" spans="1:15">
      <c r="N199" s="321"/>
      <c r="O199" s="321"/>
    </row>
    <row r="202" spans="1:15">
      <c r="L202" s="321"/>
      <c r="M202" s="321"/>
      <c r="N202" s="321"/>
      <c r="O202" s="321"/>
    </row>
    <row r="205" spans="1:15">
      <c r="N205" s="321"/>
    </row>
    <row r="206" spans="1:15">
      <c r="N206" s="321"/>
    </row>
  </sheetData>
  <mergeCells count="25">
    <mergeCell ref="A188:O188"/>
    <mergeCell ref="D166:I166"/>
    <mergeCell ref="J166:O166"/>
    <mergeCell ref="A46:A150"/>
    <mergeCell ref="A151:A163"/>
    <mergeCell ref="B166:B167"/>
    <mergeCell ref="C166:C167"/>
    <mergeCell ref="A6:A29"/>
    <mergeCell ref="A30:A43"/>
    <mergeCell ref="I4:I5"/>
    <mergeCell ref="J4:J5"/>
    <mergeCell ref="K4:L4"/>
    <mergeCell ref="A1:O1"/>
    <mergeCell ref="A3:A5"/>
    <mergeCell ref="B3:B5"/>
    <mergeCell ref="C3:C5"/>
    <mergeCell ref="D3:I3"/>
    <mergeCell ref="J3:O3"/>
    <mergeCell ref="D4:D5"/>
    <mergeCell ref="E4:F4"/>
    <mergeCell ref="G4:G5"/>
    <mergeCell ref="H4:H5"/>
    <mergeCell ref="N4:N5"/>
    <mergeCell ref="O4:O5"/>
    <mergeCell ref="M4:M5"/>
  </mergeCells>
  <phoneticPr fontId="0" type="noConversion"/>
  <printOptions horizontalCentered="1"/>
  <pageMargins left="0.27559055118110237" right="0.27559055118110237" top="0.74803149606299213" bottom="0.55118110236220474" header="0.51181102362204722" footer="0.51181102362204722"/>
  <pageSetup paperSize="9" scale="64" firstPageNumber="0" orientation="landscape" horizontalDpi="300" verticalDpi="300" r:id="rId1"/>
  <headerFooter alignWithMargins="0"/>
  <rowBreaks count="2" manualBreakCount="2">
    <brk id="57" max="14" man="1"/>
    <brk id="15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195"/>
  <sheetViews>
    <sheetView view="pageBreakPreview" zoomScale="90" zoomScaleSheetLayoutView="90" workbookViewId="0">
      <pane xSplit="3" ySplit="5" topLeftCell="D33" activePane="bottomRight" state="frozen"/>
      <selection pane="topRight" activeCell="D1" sqref="D1"/>
      <selection pane="bottomLeft" activeCell="A63" sqref="A63"/>
      <selection pane="bottomRight" activeCell="F47" sqref="F47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.5703125" style="1" customWidth="1"/>
    <col min="6" max="6" width="11.85546875" style="1" customWidth="1"/>
    <col min="7" max="7" width="11.140625" style="1" customWidth="1"/>
    <col min="8" max="8" width="10.5703125" style="1" customWidth="1"/>
    <col min="9" max="10" width="11.85546875" style="1" customWidth="1"/>
    <col min="11" max="11" width="11.140625" style="1" customWidth="1"/>
    <col min="12" max="12" width="11.28515625" style="1" customWidth="1"/>
    <col min="13" max="13" width="10.28515625" style="1" customWidth="1"/>
    <col min="14" max="14" width="10" style="1" customWidth="1"/>
    <col min="15" max="15" width="11.5703125" style="1" customWidth="1"/>
    <col min="16" max="16" width="18.7109375" style="1" customWidth="1"/>
    <col min="17" max="17" width="9.140625" style="1"/>
    <col min="18" max="18" width="9.85546875" style="1" bestFit="1" customWidth="1"/>
    <col min="19" max="16384" width="9.140625" style="1"/>
  </cols>
  <sheetData>
    <row r="1" spans="1:15" ht="15.75">
      <c r="A1" s="817" t="s">
        <v>219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" customHeight="1" thickBot="1">
      <c r="A3" s="856"/>
      <c r="B3" s="857" t="s">
        <v>0</v>
      </c>
      <c r="C3" s="858" t="s">
        <v>1</v>
      </c>
      <c r="D3" s="824" t="s">
        <v>2</v>
      </c>
      <c r="E3" s="825"/>
      <c r="F3" s="825"/>
      <c r="G3" s="825"/>
      <c r="H3" s="825"/>
      <c r="I3" s="826"/>
      <c r="J3" s="827" t="s">
        <v>3</v>
      </c>
      <c r="K3" s="828"/>
      <c r="L3" s="828"/>
      <c r="M3" s="828"/>
      <c r="N3" s="828"/>
      <c r="O3" s="829"/>
    </row>
    <row r="4" spans="1:15" s="3" customFormat="1" ht="12.75" customHeight="1" thickTop="1" thickBot="1">
      <c r="A4" s="856"/>
      <c r="B4" s="857"/>
      <c r="C4" s="858"/>
      <c r="D4" s="830" t="s">
        <v>4</v>
      </c>
      <c r="E4" s="835" t="s">
        <v>5</v>
      </c>
      <c r="F4" s="835"/>
      <c r="G4" s="835" t="s">
        <v>6</v>
      </c>
      <c r="H4" s="835" t="s">
        <v>7</v>
      </c>
      <c r="I4" s="820" t="s">
        <v>8</v>
      </c>
      <c r="J4" s="831" t="s">
        <v>4</v>
      </c>
      <c r="K4" s="833" t="s">
        <v>5</v>
      </c>
      <c r="L4" s="834"/>
      <c r="M4" s="818" t="s">
        <v>6</v>
      </c>
      <c r="N4" s="818" t="s">
        <v>7</v>
      </c>
      <c r="O4" s="820" t="s">
        <v>8</v>
      </c>
    </row>
    <row r="5" spans="1:15" s="6" customFormat="1" ht="13.5" thickTop="1" thickBot="1">
      <c r="A5" s="856"/>
      <c r="B5" s="857"/>
      <c r="C5" s="858"/>
      <c r="D5" s="831"/>
      <c r="E5" s="86">
        <v>220</v>
      </c>
      <c r="F5" s="86">
        <v>110</v>
      </c>
      <c r="G5" s="818"/>
      <c r="H5" s="818"/>
      <c r="I5" s="846"/>
      <c r="J5" s="845"/>
      <c r="K5" s="87">
        <v>220</v>
      </c>
      <c r="L5" s="242">
        <v>110</v>
      </c>
      <c r="M5" s="819"/>
      <c r="N5" s="819"/>
      <c r="O5" s="821"/>
    </row>
    <row r="6" spans="1:15" ht="13.5" thickTop="1" thickBot="1">
      <c r="A6" s="862" t="s">
        <v>9</v>
      </c>
      <c r="B6" s="179" t="s">
        <v>10</v>
      </c>
      <c r="C6" s="179" t="s">
        <v>11</v>
      </c>
      <c r="D6" s="352">
        <f t="shared" ref="D6:I6" si="0">SUM(D7:D9,D12,D14)</f>
        <v>347200</v>
      </c>
      <c r="E6" s="353">
        <f t="shared" si="0"/>
        <v>0</v>
      </c>
      <c r="F6" s="353">
        <f t="shared" si="0"/>
        <v>282550</v>
      </c>
      <c r="G6" s="353">
        <f t="shared" si="0"/>
        <v>41140</v>
      </c>
      <c r="H6" s="353">
        <f t="shared" si="0"/>
        <v>23500</v>
      </c>
      <c r="I6" s="353">
        <f t="shared" si="0"/>
        <v>10</v>
      </c>
      <c r="J6" s="244">
        <f t="shared" ref="J6:O6" si="1">SUM(J7:J9,J12,J14)</f>
        <v>370435.42499999993</v>
      </c>
      <c r="K6" s="245">
        <f t="shared" si="1"/>
        <v>0</v>
      </c>
      <c r="L6" s="245">
        <f t="shared" si="1"/>
        <v>310897.09100000001</v>
      </c>
      <c r="M6" s="245">
        <f t="shared" si="1"/>
        <v>36554.082000000002</v>
      </c>
      <c r="N6" s="245">
        <f t="shared" si="1"/>
        <v>22976.902999999998</v>
      </c>
      <c r="O6" s="245">
        <f t="shared" si="1"/>
        <v>7.3490000000000002</v>
      </c>
    </row>
    <row r="7" spans="1:15" ht="13.5" thickTop="1" thickBot="1">
      <c r="A7" s="862"/>
      <c r="B7" s="182" t="s">
        <v>12</v>
      </c>
      <c r="C7" s="182" t="s">
        <v>13</v>
      </c>
      <c r="D7" s="354">
        <f>SUM(E7:I7)</f>
        <v>0</v>
      </c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247">
        <f>SUM(K7:O7)</f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</row>
    <row r="8" spans="1:15" ht="13.5" thickTop="1" thickBot="1">
      <c r="A8" s="862"/>
      <c r="B8" s="182" t="s">
        <v>14</v>
      </c>
      <c r="C8" s="182" t="s">
        <v>15</v>
      </c>
      <c r="D8" s="354">
        <f>SUM(E8:I8)</f>
        <v>159990</v>
      </c>
      <c r="E8" s="356"/>
      <c r="F8" s="356">
        <v>128680</v>
      </c>
      <c r="G8" s="356">
        <v>10470</v>
      </c>
      <c r="H8" s="356">
        <v>20830</v>
      </c>
      <c r="I8" s="356">
        <v>10</v>
      </c>
      <c r="J8" s="247">
        <f>SUM(K8:O8)</f>
        <v>162824.04099999997</v>
      </c>
      <c r="K8" s="333">
        <v>0</v>
      </c>
      <c r="L8" s="333">
        <v>130280.667</v>
      </c>
      <c r="M8" s="333">
        <v>12166.581</v>
      </c>
      <c r="N8" s="333">
        <v>20369.444</v>
      </c>
      <c r="O8" s="333">
        <v>7.3490000000000002</v>
      </c>
    </row>
    <row r="9" spans="1:15" ht="13.5" thickTop="1" thickBot="1">
      <c r="A9" s="862"/>
      <c r="B9" s="182" t="s">
        <v>16</v>
      </c>
      <c r="C9" s="182" t="s">
        <v>17</v>
      </c>
      <c r="D9" s="354">
        <f t="shared" ref="D9:I9" si="2">SUM(D10:D11)</f>
        <v>13250</v>
      </c>
      <c r="E9" s="355">
        <f t="shared" si="2"/>
        <v>0</v>
      </c>
      <c r="F9" s="355">
        <f t="shared" si="2"/>
        <v>13250</v>
      </c>
      <c r="G9" s="355">
        <f t="shared" si="2"/>
        <v>0</v>
      </c>
      <c r="H9" s="355">
        <f t="shared" si="2"/>
        <v>0</v>
      </c>
      <c r="I9" s="355">
        <f t="shared" si="2"/>
        <v>0</v>
      </c>
      <c r="J9" s="247">
        <f t="shared" ref="J9:O9" si="3">SUM(J10:J11)</f>
        <v>4294.1790000000001</v>
      </c>
      <c r="K9" s="248">
        <f t="shared" si="3"/>
        <v>0</v>
      </c>
      <c r="L9" s="248">
        <f t="shared" si="3"/>
        <v>4294.1790000000001</v>
      </c>
      <c r="M9" s="248">
        <f t="shared" si="3"/>
        <v>0</v>
      </c>
      <c r="N9" s="248">
        <f t="shared" si="3"/>
        <v>0</v>
      </c>
      <c r="O9" s="248">
        <f t="shared" si="3"/>
        <v>0</v>
      </c>
    </row>
    <row r="10" spans="1:15" ht="13.5" thickTop="1" thickBot="1">
      <c r="A10" s="862"/>
      <c r="B10" s="186" t="s">
        <v>18</v>
      </c>
      <c r="C10" s="187" t="s">
        <v>192</v>
      </c>
      <c r="D10" s="357">
        <f>SUM(F10:I10)</f>
        <v>11950</v>
      </c>
      <c r="E10" s="358"/>
      <c r="F10" s="360">
        <v>11950</v>
      </c>
      <c r="G10" s="358"/>
      <c r="H10" s="358"/>
      <c r="I10" s="358"/>
      <c r="J10" s="251">
        <f>SUM(L10:O10)</f>
        <v>3188.1509999999998</v>
      </c>
      <c r="K10" s="252"/>
      <c r="L10" s="289">
        <v>3188.1509999999998</v>
      </c>
      <c r="M10" s="252"/>
      <c r="N10" s="252"/>
      <c r="O10" s="252"/>
    </row>
    <row r="11" spans="1:15" ht="13.5" thickTop="1" thickBot="1">
      <c r="A11" s="862"/>
      <c r="B11" s="186" t="s">
        <v>19</v>
      </c>
      <c r="C11" s="187" t="s">
        <v>191</v>
      </c>
      <c r="D11" s="357">
        <f>SUM(F11:I11)</f>
        <v>1300</v>
      </c>
      <c r="E11" s="358"/>
      <c r="F11" s="360">
        <v>1300</v>
      </c>
      <c r="G11" s="358"/>
      <c r="H11" s="358"/>
      <c r="I11" s="358"/>
      <c r="J11" s="251">
        <f>SUM(L11:O11)</f>
        <v>1106.028</v>
      </c>
      <c r="K11" s="252"/>
      <c r="L11" s="289">
        <v>1106.028</v>
      </c>
      <c r="M11" s="252"/>
      <c r="N11" s="252"/>
      <c r="O11" s="252"/>
    </row>
    <row r="12" spans="1:15" ht="13.5" thickTop="1" thickBot="1">
      <c r="A12" s="862"/>
      <c r="B12" s="182" t="s">
        <v>20</v>
      </c>
      <c r="C12" s="182" t="s">
        <v>21</v>
      </c>
      <c r="D12" s="354">
        <f>SUM(E12:I12)</f>
        <v>172660</v>
      </c>
      <c r="E12" s="355"/>
      <c r="F12" s="356">
        <v>140620</v>
      </c>
      <c r="G12" s="356">
        <v>29370</v>
      </c>
      <c r="H12" s="356">
        <v>2670</v>
      </c>
      <c r="I12" s="355"/>
      <c r="J12" s="247">
        <f>SUM(K12:O12)</f>
        <v>203317.20499999999</v>
      </c>
      <c r="K12" s="248"/>
      <c r="L12" s="333">
        <v>176322.245</v>
      </c>
      <c r="M12" s="333">
        <v>24387.501</v>
      </c>
      <c r="N12" s="333">
        <v>2607.4589999999998</v>
      </c>
      <c r="O12" s="248"/>
    </row>
    <row r="13" spans="1:15" ht="13.5" thickTop="1" thickBot="1">
      <c r="A13" s="862"/>
      <c r="B13" s="186" t="s">
        <v>22</v>
      </c>
      <c r="C13" s="187" t="s">
        <v>23</v>
      </c>
      <c r="D13" s="354">
        <f>SUM(E13:I13)</f>
        <v>0</v>
      </c>
      <c r="E13" s="355"/>
      <c r="F13" s="358"/>
      <c r="G13" s="358"/>
      <c r="H13" s="358"/>
      <c r="I13" s="358"/>
      <c r="J13" s="247">
        <f>SUM(K13:O13)</f>
        <v>0</v>
      </c>
      <c r="K13" s="248"/>
      <c r="L13" s="252"/>
      <c r="M13" s="252"/>
      <c r="N13" s="358"/>
      <c r="O13" s="252"/>
    </row>
    <row r="14" spans="1:15" ht="13.5" thickTop="1" thickBot="1">
      <c r="A14" s="862"/>
      <c r="B14" s="182" t="s">
        <v>24</v>
      </c>
      <c r="C14" s="182" t="s">
        <v>25</v>
      </c>
      <c r="D14" s="354">
        <f>SUM(E14:I14)</f>
        <v>1300</v>
      </c>
      <c r="E14" s="355"/>
      <c r="F14" s="355"/>
      <c r="G14" s="356">
        <v>1300</v>
      </c>
      <c r="H14" s="355"/>
      <c r="I14" s="355"/>
      <c r="J14" s="247">
        <f>SUM(K14:O14)</f>
        <v>0</v>
      </c>
      <c r="K14" s="248"/>
      <c r="L14" s="248"/>
      <c r="M14" s="333">
        <v>0</v>
      </c>
      <c r="N14" s="248"/>
      <c r="O14" s="248"/>
    </row>
    <row r="15" spans="1:15" ht="13.5" thickTop="1" thickBot="1">
      <c r="A15" s="862"/>
      <c r="B15" s="179" t="s">
        <v>26</v>
      </c>
      <c r="C15" s="179" t="s">
        <v>27</v>
      </c>
      <c r="D15" s="352">
        <f t="shared" ref="D15:I15" si="4">SUM(D16:D18,D21)</f>
        <v>63510</v>
      </c>
      <c r="E15" s="359">
        <f t="shared" si="4"/>
        <v>0</v>
      </c>
      <c r="F15" s="359">
        <f t="shared" si="4"/>
        <v>62970</v>
      </c>
      <c r="G15" s="359">
        <f t="shared" si="4"/>
        <v>540</v>
      </c>
      <c r="H15" s="359">
        <f t="shared" si="4"/>
        <v>0</v>
      </c>
      <c r="I15" s="359">
        <f t="shared" si="4"/>
        <v>0</v>
      </c>
      <c r="J15" s="244">
        <f t="shared" ref="J15:O15" si="5">SUM(J16:J18,J21)</f>
        <v>94857.603999999992</v>
      </c>
      <c r="K15" s="253">
        <f t="shared" si="5"/>
        <v>0</v>
      </c>
      <c r="L15" s="253">
        <f t="shared" si="5"/>
        <v>94576.966</v>
      </c>
      <c r="M15" s="253">
        <f t="shared" si="5"/>
        <v>270.25700000000001</v>
      </c>
      <c r="N15" s="253">
        <f t="shared" si="5"/>
        <v>5.859</v>
      </c>
      <c r="O15" s="253">
        <f t="shared" si="5"/>
        <v>4.5220000000000002</v>
      </c>
    </row>
    <row r="16" spans="1:15" ht="13.5" thickTop="1" thickBot="1">
      <c r="A16" s="862"/>
      <c r="B16" s="182" t="s">
        <v>28</v>
      </c>
      <c r="C16" s="182" t="s">
        <v>29</v>
      </c>
      <c r="D16" s="354">
        <f>SUM(E16:I16)</f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247">
        <f>SUM(K16:O16)</f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</row>
    <row r="17" spans="1:15" ht="13.5" thickTop="1" thickBot="1">
      <c r="A17" s="862"/>
      <c r="B17" s="182" t="s">
        <v>30</v>
      </c>
      <c r="C17" s="182" t="s">
        <v>31</v>
      </c>
      <c r="D17" s="354">
        <f>SUM(E17:I17)</f>
        <v>57890</v>
      </c>
      <c r="E17" s="356"/>
      <c r="F17" s="356">
        <v>57890</v>
      </c>
      <c r="G17" s="356">
        <v>0</v>
      </c>
      <c r="H17" s="356">
        <v>0</v>
      </c>
      <c r="I17" s="356">
        <v>0</v>
      </c>
      <c r="J17" s="247">
        <f>SUM(K17:O17)</f>
        <v>87577.849999999991</v>
      </c>
      <c r="K17" s="333">
        <v>0</v>
      </c>
      <c r="L17" s="333">
        <v>87567.468999999997</v>
      </c>
      <c r="M17" s="333">
        <v>0</v>
      </c>
      <c r="N17" s="333">
        <v>5.859</v>
      </c>
      <c r="O17" s="333">
        <v>4.5220000000000002</v>
      </c>
    </row>
    <row r="18" spans="1:15" ht="13.5" thickTop="1" thickBot="1">
      <c r="A18" s="862"/>
      <c r="B18" s="182" t="s">
        <v>32</v>
      </c>
      <c r="C18" s="182" t="s">
        <v>33</v>
      </c>
      <c r="D18" s="354">
        <f t="shared" ref="D18:I18" si="6">SUM(D19:D20)</f>
        <v>2950</v>
      </c>
      <c r="E18" s="355">
        <f t="shared" si="6"/>
        <v>0</v>
      </c>
      <c r="F18" s="355">
        <f t="shared" si="6"/>
        <v>2720</v>
      </c>
      <c r="G18" s="355">
        <f t="shared" si="6"/>
        <v>230</v>
      </c>
      <c r="H18" s="355">
        <f t="shared" si="6"/>
        <v>0</v>
      </c>
      <c r="I18" s="355">
        <f t="shared" si="6"/>
        <v>0</v>
      </c>
      <c r="J18" s="247">
        <f t="shared" ref="J18:O18" si="7">SUM(J19:J20)</f>
        <v>7169.1939999999995</v>
      </c>
      <c r="K18" s="248">
        <f t="shared" si="7"/>
        <v>0</v>
      </c>
      <c r="L18" s="248">
        <f t="shared" si="7"/>
        <v>6975.3739999999998</v>
      </c>
      <c r="M18" s="248">
        <f t="shared" si="7"/>
        <v>193.82</v>
      </c>
      <c r="N18" s="248">
        <f t="shared" si="7"/>
        <v>0</v>
      </c>
      <c r="O18" s="248">
        <f t="shared" si="7"/>
        <v>0</v>
      </c>
    </row>
    <row r="19" spans="1:15" ht="13.5" thickTop="1" thickBot="1">
      <c r="A19" s="862"/>
      <c r="B19" s="186" t="s">
        <v>34</v>
      </c>
      <c r="C19" s="187" t="s">
        <v>192</v>
      </c>
      <c r="D19" s="357">
        <f t="shared" ref="D19:D29" si="8">SUM(E19:I19)</f>
        <v>250</v>
      </c>
      <c r="E19" s="358"/>
      <c r="F19" s="360">
        <v>250</v>
      </c>
      <c r="G19" s="358"/>
      <c r="H19" s="358"/>
      <c r="I19" s="358"/>
      <c r="J19" s="251">
        <f t="shared" ref="J19:J29" si="9">SUM(K19:O19)</f>
        <v>4855.1239999999998</v>
      </c>
      <c r="K19" s="252"/>
      <c r="L19" s="289">
        <v>4855.1239999999998</v>
      </c>
      <c r="M19" s="252"/>
      <c r="N19" s="252"/>
      <c r="O19" s="252"/>
    </row>
    <row r="20" spans="1:15" ht="13.5" thickTop="1" thickBot="1">
      <c r="A20" s="862"/>
      <c r="B20" s="190" t="s">
        <v>35</v>
      </c>
      <c r="C20" s="187" t="s">
        <v>191</v>
      </c>
      <c r="D20" s="357">
        <f t="shared" si="8"/>
        <v>2700</v>
      </c>
      <c r="E20" s="358"/>
      <c r="F20" s="360">
        <v>2470</v>
      </c>
      <c r="G20" s="360">
        <v>230</v>
      </c>
      <c r="H20" s="358"/>
      <c r="I20" s="358"/>
      <c r="J20" s="251">
        <f t="shared" si="9"/>
        <v>2314.0700000000002</v>
      </c>
      <c r="K20" s="252"/>
      <c r="L20" s="289">
        <v>2120.25</v>
      </c>
      <c r="M20" s="289">
        <v>193.82</v>
      </c>
      <c r="N20" s="252"/>
      <c r="O20" s="252"/>
    </row>
    <row r="21" spans="1:15" ht="13.5" thickTop="1" thickBot="1">
      <c r="A21" s="862"/>
      <c r="B21" s="182" t="s">
        <v>36</v>
      </c>
      <c r="C21" s="182" t="s">
        <v>37</v>
      </c>
      <c r="D21" s="354">
        <f t="shared" si="8"/>
        <v>2670</v>
      </c>
      <c r="E21" s="355"/>
      <c r="F21" s="356">
        <v>2360</v>
      </c>
      <c r="G21" s="356">
        <v>310</v>
      </c>
      <c r="H21" s="355"/>
      <c r="I21" s="355"/>
      <c r="J21" s="247">
        <f t="shared" si="9"/>
        <v>110.56</v>
      </c>
      <c r="K21" s="248"/>
      <c r="L21" s="333">
        <v>34.122999999999998</v>
      </c>
      <c r="M21" s="333">
        <v>76.436999999999998</v>
      </c>
      <c r="N21" s="248"/>
      <c r="O21" s="248"/>
    </row>
    <row r="22" spans="1:15" s="17" customFormat="1" ht="13.5" thickTop="1" thickBot="1">
      <c r="A22" s="862"/>
      <c r="B22" s="232" t="s">
        <v>38</v>
      </c>
      <c r="C22" s="232" t="s">
        <v>39</v>
      </c>
      <c r="D22" s="361">
        <f t="shared" si="8"/>
        <v>283690</v>
      </c>
      <c r="E22" s="361">
        <f>SUM(E23:E25,E28,E29)</f>
        <v>0</v>
      </c>
      <c r="F22" s="361">
        <f>SUM(F23:F25,F28,F29)</f>
        <v>219580</v>
      </c>
      <c r="G22" s="361">
        <f>SUM(G23:G25,G28,G29)</f>
        <v>40600</v>
      </c>
      <c r="H22" s="361">
        <f>SUM(H23:H25,H28,H29)</f>
        <v>23500</v>
      </c>
      <c r="I22" s="361">
        <f>SUM(I23:I25,I28,I29)</f>
        <v>10</v>
      </c>
      <c r="J22" s="256">
        <f t="shared" si="9"/>
        <v>275577.821</v>
      </c>
      <c r="K22" s="256">
        <f>SUM(K23:K25,K28,K29)</f>
        <v>0</v>
      </c>
      <c r="L22" s="256">
        <f>SUM(L23:L25,L28,L29)</f>
        <v>216320.125</v>
      </c>
      <c r="M22" s="256">
        <f>SUM(M23:M25,M28,M29)</f>
        <v>36283.824999999997</v>
      </c>
      <c r="N22" s="256">
        <f>SUM(N23:N25,N28,N29)</f>
        <v>22971.043999999998</v>
      </c>
      <c r="O22" s="256">
        <f>SUM(O23:O25,O28,O29)</f>
        <v>2.827</v>
      </c>
    </row>
    <row r="23" spans="1:15" ht="13.5" thickTop="1" thickBot="1">
      <c r="A23" s="862"/>
      <c r="B23" s="182" t="s">
        <v>40</v>
      </c>
      <c r="C23" s="182" t="s">
        <v>41</v>
      </c>
      <c r="D23" s="354">
        <f t="shared" si="8"/>
        <v>0</v>
      </c>
      <c r="E23" s="354">
        <f t="shared" ref="E23:I28" si="10">E7-E16</f>
        <v>0</v>
      </c>
      <c r="F23" s="354">
        <f t="shared" si="10"/>
        <v>0</v>
      </c>
      <c r="G23" s="354">
        <f t="shared" si="10"/>
        <v>0</v>
      </c>
      <c r="H23" s="354">
        <f t="shared" si="10"/>
        <v>0</v>
      </c>
      <c r="I23" s="354">
        <f t="shared" si="10"/>
        <v>0</v>
      </c>
      <c r="J23" s="247">
        <f t="shared" si="9"/>
        <v>0</v>
      </c>
      <c r="K23" s="247">
        <f t="shared" ref="K23:O28" si="11">K7-K16</f>
        <v>0</v>
      </c>
      <c r="L23" s="247">
        <f t="shared" si="11"/>
        <v>0</v>
      </c>
      <c r="M23" s="247">
        <f t="shared" si="11"/>
        <v>0</v>
      </c>
      <c r="N23" s="247">
        <f t="shared" si="11"/>
        <v>0</v>
      </c>
      <c r="O23" s="247">
        <f t="shared" si="11"/>
        <v>0</v>
      </c>
    </row>
    <row r="24" spans="1:15" ht="13.5" thickTop="1" thickBot="1">
      <c r="A24" s="862"/>
      <c r="B24" s="182" t="s">
        <v>42</v>
      </c>
      <c r="C24" s="182" t="s">
        <v>43</v>
      </c>
      <c r="D24" s="354">
        <f t="shared" si="8"/>
        <v>102100</v>
      </c>
      <c r="E24" s="354">
        <f t="shared" si="10"/>
        <v>0</v>
      </c>
      <c r="F24" s="354">
        <f t="shared" si="10"/>
        <v>70790</v>
      </c>
      <c r="G24" s="354">
        <f t="shared" si="10"/>
        <v>10470</v>
      </c>
      <c r="H24" s="354">
        <f t="shared" si="10"/>
        <v>20830</v>
      </c>
      <c r="I24" s="354">
        <f t="shared" si="10"/>
        <v>10</v>
      </c>
      <c r="J24" s="247">
        <f t="shared" si="9"/>
        <v>75246.191000000006</v>
      </c>
      <c r="K24" s="247">
        <f t="shared" si="11"/>
        <v>0</v>
      </c>
      <c r="L24" s="247">
        <f t="shared" si="11"/>
        <v>42713.198000000004</v>
      </c>
      <c r="M24" s="247">
        <f t="shared" si="11"/>
        <v>12166.581</v>
      </c>
      <c r="N24" s="247">
        <f t="shared" si="11"/>
        <v>20363.584999999999</v>
      </c>
      <c r="O24" s="247">
        <f t="shared" si="11"/>
        <v>2.827</v>
      </c>
    </row>
    <row r="25" spans="1:15" ht="13.5" thickTop="1" thickBot="1">
      <c r="A25" s="862"/>
      <c r="B25" s="182" t="s">
        <v>44</v>
      </c>
      <c r="C25" s="182" t="s">
        <v>45</v>
      </c>
      <c r="D25" s="354">
        <f t="shared" si="8"/>
        <v>10300</v>
      </c>
      <c r="E25" s="354">
        <f t="shared" si="10"/>
        <v>0</v>
      </c>
      <c r="F25" s="354">
        <f t="shared" si="10"/>
        <v>10530</v>
      </c>
      <c r="G25" s="354">
        <f t="shared" si="10"/>
        <v>-230</v>
      </c>
      <c r="H25" s="354">
        <f t="shared" si="10"/>
        <v>0</v>
      </c>
      <c r="I25" s="354">
        <f t="shared" si="10"/>
        <v>0</v>
      </c>
      <c r="J25" s="247">
        <f t="shared" si="9"/>
        <v>-2875.0149999999999</v>
      </c>
      <c r="K25" s="247">
        <f t="shared" si="11"/>
        <v>0</v>
      </c>
      <c r="L25" s="247">
        <f t="shared" si="11"/>
        <v>-2681.1949999999997</v>
      </c>
      <c r="M25" s="247">
        <f t="shared" si="11"/>
        <v>-193.82</v>
      </c>
      <c r="N25" s="247">
        <f t="shared" si="11"/>
        <v>0</v>
      </c>
      <c r="O25" s="247">
        <f t="shared" si="11"/>
        <v>0</v>
      </c>
    </row>
    <row r="26" spans="1:15" ht="13.5" thickTop="1" thickBot="1">
      <c r="A26" s="862"/>
      <c r="B26" s="186" t="s">
        <v>46</v>
      </c>
      <c r="C26" s="187" t="s">
        <v>192</v>
      </c>
      <c r="D26" s="354">
        <f t="shared" si="8"/>
        <v>11700</v>
      </c>
      <c r="E26" s="357">
        <f t="shared" si="10"/>
        <v>0</v>
      </c>
      <c r="F26" s="357">
        <f t="shared" si="10"/>
        <v>11700</v>
      </c>
      <c r="G26" s="357">
        <f t="shared" si="10"/>
        <v>0</v>
      </c>
      <c r="H26" s="357">
        <f t="shared" si="10"/>
        <v>0</v>
      </c>
      <c r="I26" s="357">
        <f t="shared" si="10"/>
        <v>0</v>
      </c>
      <c r="J26" s="247">
        <f t="shared" si="9"/>
        <v>-1666.973</v>
      </c>
      <c r="K26" s="251">
        <f t="shared" si="11"/>
        <v>0</v>
      </c>
      <c r="L26" s="251">
        <f t="shared" si="11"/>
        <v>-1666.973</v>
      </c>
      <c r="M26" s="251">
        <f t="shared" si="11"/>
        <v>0</v>
      </c>
      <c r="N26" s="251">
        <f t="shared" si="11"/>
        <v>0</v>
      </c>
      <c r="O26" s="251">
        <f t="shared" si="11"/>
        <v>0</v>
      </c>
    </row>
    <row r="27" spans="1:15" ht="13.5" thickTop="1" thickBot="1">
      <c r="A27" s="862"/>
      <c r="B27" s="186" t="s">
        <v>47</v>
      </c>
      <c r="C27" s="187" t="s">
        <v>191</v>
      </c>
      <c r="D27" s="354">
        <f t="shared" si="8"/>
        <v>-1400</v>
      </c>
      <c r="E27" s="357">
        <f t="shared" si="10"/>
        <v>0</v>
      </c>
      <c r="F27" s="357">
        <f t="shared" si="10"/>
        <v>-1170</v>
      </c>
      <c r="G27" s="357">
        <f t="shared" si="10"/>
        <v>-230</v>
      </c>
      <c r="H27" s="357">
        <f t="shared" si="10"/>
        <v>0</v>
      </c>
      <c r="I27" s="357">
        <f t="shared" si="10"/>
        <v>0</v>
      </c>
      <c r="J27" s="247">
        <f t="shared" si="9"/>
        <v>-1208.0419999999999</v>
      </c>
      <c r="K27" s="251">
        <f t="shared" si="11"/>
        <v>0</v>
      </c>
      <c r="L27" s="251">
        <f t="shared" si="11"/>
        <v>-1014.222</v>
      </c>
      <c r="M27" s="251">
        <f t="shared" si="11"/>
        <v>-193.82</v>
      </c>
      <c r="N27" s="251">
        <f t="shared" si="11"/>
        <v>0</v>
      </c>
      <c r="O27" s="251">
        <f t="shared" si="11"/>
        <v>0</v>
      </c>
    </row>
    <row r="28" spans="1:15" ht="13.5" thickTop="1" thickBot="1">
      <c r="A28" s="862"/>
      <c r="B28" s="182" t="s">
        <v>48</v>
      </c>
      <c r="C28" s="182" t="s">
        <v>49</v>
      </c>
      <c r="D28" s="354">
        <f t="shared" si="8"/>
        <v>169990</v>
      </c>
      <c r="E28" s="354">
        <f t="shared" si="10"/>
        <v>0</v>
      </c>
      <c r="F28" s="354">
        <f t="shared" si="10"/>
        <v>138260</v>
      </c>
      <c r="G28" s="354">
        <f t="shared" si="10"/>
        <v>29060</v>
      </c>
      <c r="H28" s="354">
        <f t="shared" si="10"/>
        <v>2670</v>
      </c>
      <c r="I28" s="354">
        <f t="shared" si="10"/>
        <v>0</v>
      </c>
      <c r="J28" s="247">
        <f t="shared" si="9"/>
        <v>203206.64499999999</v>
      </c>
      <c r="K28" s="247">
        <f t="shared" si="11"/>
        <v>0</v>
      </c>
      <c r="L28" s="247">
        <f t="shared" si="11"/>
        <v>176288.122</v>
      </c>
      <c r="M28" s="247">
        <f t="shared" si="11"/>
        <v>24311.063999999998</v>
      </c>
      <c r="N28" s="247">
        <f t="shared" si="11"/>
        <v>2607.4589999999998</v>
      </c>
      <c r="O28" s="247">
        <f t="shared" si="11"/>
        <v>0</v>
      </c>
    </row>
    <row r="29" spans="1:15" ht="13.5" thickTop="1" thickBot="1">
      <c r="A29" s="862"/>
      <c r="B29" s="182" t="s">
        <v>50</v>
      </c>
      <c r="C29" s="182" t="s">
        <v>25</v>
      </c>
      <c r="D29" s="354">
        <f t="shared" si="8"/>
        <v>1300</v>
      </c>
      <c r="E29" s="354">
        <f>E14</f>
        <v>0</v>
      </c>
      <c r="F29" s="354">
        <f>F14</f>
        <v>0</v>
      </c>
      <c r="G29" s="354">
        <f>G14</f>
        <v>1300</v>
      </c>
      <c r="H29" s="354">
        <f>H14</f>
        <v>0</v>
      </c>
      <c r="I29" s="354">
        <f>I14</f>
        <v>0</v>
      </c>
      <c r="J29" s="247">
        <f t="shared" si="9"/>
        <v>0</v>
      </c>
      <c r="K29" s="247">
        <f>K14</f>
        <v>0</v>
      </c>
      <c r="L29" s="247">
        <f>L14</f>
        <v>0</v>
      </c>
      <c r="M29" s="247">
        <f>M14</f>
        <v>0</v>
      </c>
      <c r="N29" s="247">
        <f>N14</f>
        <v>0</v>
      </c>
      <c r="O29" s="247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362">
        <f>SUM(F30:I30)</f>
        <v>355334</v>
      </c>
      <c r="E30" s="362"/>
      <c r="F30" s="362">
        <f>SUM(F31:F33)</f>
        <v>0</v>
      </c>
      <c r="G30" s="362">
        <f>SUM(G31:G33)</f>
        <v>44964</v>
      </c>
      <c r="H30" s="362">
        <f>SUM(H31:H33)</f>
        <v>186920</v>
      </c>
      <c r="I30" s="362">
        <f>SUM(I31:I33)</f>
        <v>123450</v>
      </c>
      <c r="J30" s="258">
        <f>SUM(L30:O30)</f>
        <v>332870.98820000002</v>
      </c>
      <c r="K30" s="258"/>
      <c r="L30" s="258">
        <f>SUM(L31:L33)</f>
        <v>0</v>
      </c>
      <c r="M30" s="258">
        <f>SUM(M31:M33)</f>
        <v>42766.387199999997</v>
      </c>
      <c r="N30" s="258">
        <f>SUM(N31:N33)</f>
        <v>175093.53600000002</v>
      </c>
      <c r="O30" s="258">
        <f>SUM(O31:O33)</f>
        <v>115011.06500000003</v>
      </c>
    </row>
    <row r="31" spans="1:15" ht="13.5" thickTop="1" thickBot="1">
      <c r="A31" s="862"/>
      <c r="B31" s="182" t="s">
        <v>54</v>
      </c>
      <c r="C31" s="182" t="s">
        <v>55</v>
      </c>
      <c r="D31" s="354">
        <f t="shared" ref="D31:D43" si="12">SUM(E31:I31)</f>
        <v>149880</v>
      </c>
      <c r="E31" s="363"/>
      <c r="F31" s="364"/>
      <c r="G31" s="354">
        <f>F36</f>
        <v>44964</v>
      </c>
      <c r="H31" s="354">
        <f>F37</f>
        <v>104916</v>
      </c>
      <c r="I31" s="363"/>
      <c r="J31" s="247">
        <f t="shared" ref="J31:J43" si="13">SUM(K31:O31)</f>
        <v>142554.62400000001</v>
      </c>
      <c r="K31" s="259"/>
      <c r="L31" s="260"/>
      <c r="M31" s="247">
        <f>L36</f>
        <v>42766.387199999997</v>
      </c>
      <c r="N31" s="247">
        <f>L37</f>
        <v>99788.236800000013</v>
      </c>
      <c r="O31" s="259"/>
    </row>
    <row r="32" spans="1:15" ht="13.5" thickTop="1" thickBot="1">
      <c r="A32" s="862"/>
      <c r="B32" s="182" t="s">
        <v>56</v>
      </c>
      <c r="C32" s="182" t="s">
        <v>57</v>
      </c>
      <c r="D32" s="354">
        <f t="shared" si="12"/>
        <v>82004</v>
      </c>
      <c r="E32" s="363"/>
      <c r="F32" s="363"/>
      <c r="G32" s="363"/>
      <c r="H32" s="354">
        <f>G37</f>
        <v>82004</v>
      </c>
      <c r="I32" s="364">
        <f>G43</f>
        <v>0</v>
      </c>
      <c r="J32" s="247">
        <f t="shared" si="13"/>
        <v>75305.299199999994</v>
      </c>
      <c r="K32" s="259"/>
      <c r="L32" s="259"/>
      <c r="M32" s="259"/>
      <c r="N32" s="247">
        <f>M37</f>
        <v>75305.299199999994</v>
      </c>
      <c r="O32" s="260">
        <f>M43</f>
        <v>0</v>
      </c>
    </row>
    <row r="33" spans="1:16" ht="13.5" thickTop="1" thickBot="1">
      <c r="A33" s="862"/>
      <c r="B33" s="182" t="s">
        <v>58</v>
      </c>
      <c r="C33" s="182" t="s">
        <v>59</v>
      </c>
      <c r="D33" s="354">
        <f t="shared" si="12"/>
        <v>123450</v>
      </c>
      <c r="E33" s="363"/>
      <c r="F33" s="363"/>
      <c r="G33" s="363"/>
      <c r="H33" s="363"/>
      <c r="I33" s="354">
        <f>G38+H38</f>
        <v>123450</v>
      </c>
      <c r="J33" s="247">
        <f t="shared" si="13"/>
        <v>115011.06500000003</v>
      </c>
      <c r="K33" s="259"/>
      <c r="L33" s="259"/>
      <c r="M33" s="259"/>
      <c r="N33" s="259"/>
      <c r="O33" s="247">
        <f>M38+N38</f>
        <v>115011.06500000003</v>
      </c>
    </row>
    <row r="34" spans="1:16" ht="13.5" thickTop="1" thickBot="1">
      <c r="A34" s="862"/>
      <c r="B34" s="179" t="s">
        <v>60</v>
      </c>
      <c r="C34" s="179" t="s">
        <v>61</v>
      </c>
      <c r="D34" s="362">
        <f t="shared" si="12"/>
        <v>355334</v>
      </c>
      <c r="E34" s="362"/>
      <c r="F34" s="362">
        <f>SUM(F35:F38)</f>
        <v>149880</v>
      </c>
      <c r="G34" s="362">
        <f>SUM(G35:G38)</f>
        <v>82004</v>
      </c>
      <c r="H34" s="362">
        <f>SUM(H35:H38)</f>
        <v>123450</v>
      </c>
      <c r="I34" s="285">
        <f>SUM(I35:I38)</f>
        <v>0</v>
      </c>
      <c r="J34" s="258">
        <f t="shared" si="13"/>
        <v>332870.98820000002</v>
      </c>
      <c r="K34" s="258"/>
      <c r="L34" s="258">
        <f>SUM(L35:L38)</f>
        <v>142554.62400000001</v>
      </c>
      <c r="M34" s="258">
        <f>SUM(M35:M38)</f>
        <v>75305.299199999994</v>
      </c>
      <c r="N34" s="258">
        <f>SUM(N35:N38)</f>
        <v>115011.06500000003</v>
      </c>
      <c r="O34" s="261">
        <f>SUM(O35:O38)</f>
        <v>0</v>
      </c>
    </row>
    <row r="35" spans="1:16" ht="13.5" thickTop="1" thickBot="1">
      <c r="A35" s="862"/>
      <c r="B35" s="182" t="s">
        <v>62</v>
      </c>
      <c r="C35" s="182" t="s">
        <v>63</v>
      </c>
      <c r="D35" s="354">
        <f t="shared" si="12"/>
        <v>0</v>
      </c>
      <c r="E35" s="364"/>
      <c r="F35" s="363"/>
      <c r="G35" s="363"/>
      <c r="H35" s="363"/>
      <c r="I35" s="363"/>
      <c r="J35" s="247">
        <f t="shared" si="13"/>
        <v>0</v>
      </c>
      <c r="K35" s="260"/>
      <c r="L35" s="259"/>
      <c r="M35" s="259"/>
      <c r="N35" s="259"/>
      <c r="O35" s="259"/>
    </row>
    <row r="36" spans="1:16" ht="13.5" thickTop="1" thickBot="1">
      <c r="A36" s="862"/>
      <c r="B36" s="182" t="s">
        <v>64</v>
      </c>
      <c r="C36" s="182" t="s">
        <v>65</v>
      </c>
      <c r="D36" s="354">
        <f t="shared" si="12"/>
        <v>44964</v>
      </c>
      <c r="E36" s="354"/>
      <c r="F36" s="333">
        <v>44964</v>
      </c>
      <c r="G36" s="259"/>
      <c r="H36" s="259"/>
      <c r="I36" s="363"/>
      <c r="J36" s="247">
        <f t="shared" si="13"/>
        <v>42766.387199999997</v>
      </c>
      <c r="K36" s="247"/>
      <c r="L36" s="333">
        <v>42766.387199999997</v>
      </c>
      <c r="M36" s="259"/>
      <c r="N36" s="259"/>
      <c r="O36" s="259"/>
    </row>
    <row r="37" spans="1:16" ht="13.5" thickTop="1" thickBot="1">
      <c r="A37" s="862"/>
      <c r="B37" s="182" t="s">
        <v>66</v>
      </c>
      <c r="C37" s="182" t="s">
        <v>67</v>
      </c>
      <c r="D37" s="354">
        <f t="shared" si="12"/>
        <v>186920</v>
      </c>
      <c r="E37" s="354"/>
      <c r="F37" s="333">
        <v>104916</v>
      </c>
      <c r="G37" s="333">
        <v>82004</v>
      </c>
      <c r="H37" s="259"/>
      <c r="I37" s="363"/>
      <c r="J37" s="247">
        <f t="shared" si="13"/>
        <v>175093.53600000002</v>
      </c>
      <c r="K37" s="247"/>
      <c r="L37" s="333">
        <v>99788.236800000013</v>
      </c>
      <c r="M37" s="333">
        <v>75305.299199999994</v>
      </c>
      <c r="N37" s="259"/>
      <c r="O37" s="259"/>
    </row>
    <row r="38" spans="1:16" ht="13.5" thickTop="1" thickBot="1">
      <c r="A38" s="862"/>
      <c r="B38" s="182" t="s">
        <v>68</v>
      </c>
      <c r="C38" s="182" t="s">
        <v>69</v>
      </c>
      <c r="D38" s="354">
        <f t="shared" si="12"/>
        <v>123450</v>
      </c>
      <c r="E38" s="363"/>
      <c r="F38" s="259"/>
      <c r="G38" s="260"/>
      <c r="H38" s="333">
        <v>123450</v>
      </c>
      <c r="I38" s="363"/>
      <c r="J38" s="247">
        <f t="shared" si="13"/>
        <v>115011.06500000003</v>
      </c>
      <c r="K38" s="259"/>
      <c r="L38" s="259"/>
      <c r="M38" s="260"/>
      <c r="N38" s="333">
        <v>115011.06500000003</v>
      </c>
      <c r="O38" s="259"/>
    </row>
    <row r="39" spans="1:16" s="17" customFormat="1" ht="13.5" thickTop="1" thickBot="1">
      <c r="A39" s="862"/>
      <c r="B39" s="232" t="s">
        <v>70</v>
      </c>
      <c r="C39" s="232" t="s">
        <v>71</v>
      </c>
      <c r="D39" s="365">
        <f t="shared" si="12"/>
        <v>0</v>
      </c>
      <c r="E39" s="365"/>
      <c r="F39" s="365">
        <f>SUM(F40:F43)</f>
        <v>-149880</v>
      </c>
      <c r="G39" s="365">
        <f>SUM(G40:G43)</f>
        <v>-37040</v>
      </c>
      <c r="H39" s="365">
        <f>SUM(H40:H43)</f>
        <v>63470</v>
      </c>
      <c r="I39" s="365">
        <f>SUM(I40:I43)</f>
        <v>123450</v>
      </c>
      <c r="J39" s="262">
        <f t="shared" si="13"/>
        <v>0</v>
      </c>
      <c r="K39" s="262"/>
      <c r="L39" s="262">
        <f>SUM(L40:L43)</f>
        <v>-142554.62400000001</v>
      </c>
      <c r="M39" s="262">
        <f>SUM(M40:M43)</f>
        <v>-32538.911999999997</v>
      </c>
      <c r="N39" s="262">
        <f>SUM(N40:N43)</f>
        <v>60082.47099999999</v>
      </c>
      <c r="O39" s="262">
        <f>SUM(O40:O43)</f>
        <v>115011.06500000003</v>
      </c>
    </row>
    <row r="40" spans="1:16" ht="13.5" thickTop="1" thickBot="1">
      <c r="A40" s="862"/>
      <c r="B40" s="182" t="s">
        <v>72</v>
      </c>
      <c r="C40" s="182" t="s">
        <v>5</v>
      </c>
      <c r="D40" s="366">
        <f t="shared" si="12"/>
        <v>149880</v>
      </c>
      <c r="E40" s="367"/>
      <c r="F40" s="367">
        <f>F31-F35</f>
        <v>0</v>
      </c>
      <c r="G40" s="367">
        <f>G31-G35</f>
        <v>44964</v>
      </c>
      <c r="H40" s="367">
        <f>H31-H35</f>
        <v>104916</v>
      </c>
      <c r="I40" s="368"/>
      <c r="J40" s="264">
        <f t="shared" si="13"/>
        <v>142554.62400000001</v>
      </c>
      <c r="K40" s="265"/>
      <c r="L40" s="265">
        <f>L31-L35</f>
        <v>0</v>
      </c>
      <c r="M40" s="265">
        <f>M31-M35</f>
        <v>42766.387199999997</v>
      </c>
      <c r="N40" s="265">
        <f>N31-N35</f>
        <v>99788.236800000013</v>
      </c>
      <c r="O40" s="266"/>
    </row>
    <row r="41" spans="1:16" ht="13.5" thickTop="1" thickBot="1">
      <c r="A41" s="862"/>
      <c r="B41" s="182" t="s">
        <v>73</v>
      </c>
      <c r="C41" s="182" t="s">
        <v>74</v>
      </c>
      <c r="D41" s="366">
        <f t="shared" si="12"/>
        <v>37040</v>
      </c>
      <c r="E41" s="367">
        <f>E32-E36</f>
        <v>0</v>
      </c>
      <c r="F41" s="367">
        <f>F32-F36</f>
        <v>-44964</v>
      </c>
      <c r="G41" s="368"/>
      <c r="H41" s="367">
        <f>H32-H36</f>
        <v>82004</v>
      </c>
      <c r="I41" s="368"/>
      <c r="J41" s="264">
        <f t="shared" si="13"/>
        <v>32538.911999999997</v>
      </c>
      <c r="K41" s="265">
        <f>K32-K36</f>
        <v>0</v>
      </c>
      <c r="L41" s="265">
        <f>L32-L36</f>
        <v>-42766.387199999997</v>
      </c>
      <c r="M41" s="266"/>
      <c r="N41" s="265">
        <f>N32-N36</f>
        <v>75305.299199999994</v>
      </c>
      <c r="O41" s="266"/>
    </row>
    <row r="42" spans="1:16" ht="13.5" thickTop="1" thickBot="1">
      <c r="A42" s="862"/>
      <c r="B42" s="182" t="s">
        <v>75</v>
      </c>
      <c r="C42" s="182" t="s">
        <v>76</v>
      </c>
      <c r="D42" s="366">
        <f t="shared" si="12"/>
        <v>-63470</v>
      </c>
      <c r="E42" s="367">
        <f>E33-E37</f>
        <v>0</v>
      </c>
      <c r="F42" s="367">
        <f>F33-F37</f>
        <v>-104916</v>
      </c>
      <c r="G42" s="367">
        <f>G33-G37</f>
        <v>-82004</v>
      </c>
      <c r="H42" s="368"/>
      <c r="I42" s="367">
        <f>I33-I37</f>
        <v>123450</v>
      </c>
      <c r="J42" s="264">
        <f t="shared" si="13"/>
        <v>-60082.47099999999</v>
      </c>
      <c r="K42" s="265">
        <f>K33-K37</f>
        <v>0</v>
      </c>
      <c r="L42" s="265">
        <f>L33-L37</f>
        <v>-99788.236800000013</v>
      </c>
      <c r="M42" s="265">
        <f>M33-M37</f>
        <v>-75305.299199999994</v>
      </c>
      <c r="N42" s="266"/>
      <c r="O42" s="265">
        <f>O33-O37</f>
        <v>115011.06500000003</v>
      </c>
    </row>
    <row r="43" spans="1:16" ht="13.5" thickTop="1" thickBot="1">
      <c r="A43" s="862"/>
      <c r="B43" s="199" t="s">
        <v>77</v>
      </c>
      <c r="C43" s="199" t="s">
        <v>8</v>
      </c>
      <c r="D43" s="367">
        <f t="shared" si="12"/>
        <v>-123450</v>
      </c>
      <c r="E43" s="368"/>
      <c r="F43" s="368"/>
      <c r="G43" s="367"/>
      <c r="H43" s="367">
        <f>-H38</f>
        <v>-123450</v>
      </c>
      <c r="I43" s="368"/>
      <c r="J43" s="265">
        <f t="shared" si="13"/>
        <v>-115011.06500000003</v>
      </c>
      <c r="K43" s="266"/>
      <c r="L43" s="266"/>
      <c r="M43" s="265"/>
      <c r="N43" s="265">
        <f>-N38</f>
        <v>-115011.06500000003</v>
      </c>
      <c r="O43" s="266"/>
    </row>
    <row r="44" spans="1:16" ht="13.5" thickTop="1" thickBot="1">
      <c r="A44" s="177"/>
      <c r="B44" s="200" t="s">
        <v>78</v>
      </c>
      <c r="C44" s="200" t="s">
        <v>79</v>
      </c>
      <c r="D44" s="201">
        <f>D22</f>
        <v>283690</v>
      </c>
      <c r="E44" s="201">
        <f>E22+E30</f>
        <v>0</v>
      </c>
      <c r="F44" s="201">
        <f>F22+F30</f>
        <v>219580</v>
      </c>
      <c r="G44" s="201">
        <f>G22+G30</f>
        <v>85564</v>
      </c>
      <c r="H44" s="201">
        <f>H22+H30</f>
        <v>210420</v>
      </c>
      <c r="I44" s="201">
        <f>I22+I30</f>
        <v>123460</v>
      </c>
      <c r="J44" s="201">
        <f>J22</f>
        <v>275577.821</v>
      </c>
      <c r="K44" s="201">
        <f>K22+K30</f>
        <v>0</v>
      </c>
      <c r="L44" s="201">
        <f>L22+L30</f>
        <v>216320.125</v>
      </c>
      <c r="M44" s="201">
        <f>M22+M30</f>
        <v>79050.212199999994</v>
      </c>
      <c r="N44" s="201">
        <f>N22+N30</f>
        <v>198064.58000000002</v>
      </c>
      <c r="O44" s="201">
        <f>O22+O30</f>
        <v>115013.89200000004</v>
      </c>
    </row>
    <row r="45" spans="1:16" ht="13.5" thickTop="1" thickBot="1">
      <c r="A45" s="177"/>
      <c r="B45" s="202" t="s">
        <v>80</v>
      </c>
      <c r="C45" s="202" t="s">
        <v>81</v>
      </c>
      <c r="D45" s="203">
        <f>D44</f>
        <v>283690</v>
      </c>
      <c r="E45" s="203">
        <f>E143+E151+E34</f>
        <v>0</v>
      </c>
      <c r="F45" s="203">
        <f>F143+F151+F34-G49-H49-G73-H73-G78-H78-H54-H97-H109-G97-G102-H102-G109-G114-H114-G121-H121-G126-H126-G133-H133</f>
        <v>219580</v>
      </c>
      <c r="G45" s="203">
        <f>G143+G151+G34-H50-I50-H55-I55-H62-I62-H67-I67-H98-H74-H79-H86-H91-H103-H110-H115-H122-H127-H134</f>
        <v>84394.3</v>
      </c>
      <c r="H45" s="203">
        <f>H143+H151+H34-I51-I56-I63-I68-I75-I80-I87-I92-I99-I104-I111-I116-I123-I128</f>
        <v>193535.9</v>
      </c>
      <c r="I45" s="203">
        <f>I151+I143</f>
        <v>122795.30000000002</v>
      </c>
      <c r="J45" s="203">
        <f>J44</f>
        <v>275577.821</v>
      </c>
      <c r="K45" s="203">
        <f>K143+K151+K34</f>
        <v>0</v>
      </c>
      <c r="L45" s="203">
        <f>L143+L151+L34-M49-N49-M73-N73-M78-N78-N54-N97-N109-M97-M102-N102-M109-M114-N114-M121-N121-M126-N126-M133-N133</f>
        <v>216320.12499999997</v>
      </c>
      <c r="M45" s="203">
        <f>M143+M151+M34-N50-O50-N55-O55-N62-O62-N67-O67-N98-N74-N79-N86-N91-N103-N110-N115-N122-N127-N134</f>
        <v>77285.015199999994</v>
      </c>
      <c r="N45" s="203">
        <f>N143+N151+N34-O51-O56-O63-O68-O75-O80-O87-O92-O99-O104-O111-O116-O123-O128</f>
        <v>179096.77</v>
      </c>
      <c r="O45" s="203">
        <f>O151+O143</f>
        <v>113892.81100000003</v>
      </c>
    </row>
    <row r="46" spans="1:16" ht="13.5" thickTop="1" thickBot="1">
      <c r="A46" s="862" t="s">
        <v>82</v>
      </c>
      <c r="B46" s="179" t="s">
        <v>83</v>
      </c>
      <c r="C46" s="179" t="s">
        <v>84</v>
      </c>
      <c r="D46" s="181">
        <f>SUM(E46:I46)</f>
        <v>249990</v>
      </c>
      <c r="E46" s="322">
        <f>E47+E59+E71+E83+E95</f>
        <v>0</v>
      </c>
      <c r="F46" s="322">
        <f>F47+F59+F71+F83+F95+F107+F119+F131</f>
        <v>65700</v>
      </c>
      <c r="G46" s="322">
        <f>G47+G59+G71+G83+G95+G107+G119+G131</f>
        <v>1660</v>
      </c>
      <c r="H46" s="322">
        <f>H47+H59+H71+H83+H95+H107+H119+H131</f>
        <v>78970</v>
      </c>
      <c r="I46" s="322">
        <f>I47+I59+I71+I83+I95+I107+I119+I131</f>
        <v>103660</v>
      </c>
      <c r="J46" s="181">
        <f>SUM(K46:O46)</f>
        <v>241644.68400000004</v>
      </c>
      <c r="K46" s="322">
        <f>K47+K59+K71+K83+K95</f>
        <v>0</v>
      </c>
      <c r="L46" s="322">
        <f>L47+L59+L71+L83+L95+L107+L119+L131</f>
        <v>69964.456000000006</v>
      </c>
      <c r="M46" s="322">
        <f>M47+M59+M71+M83+M95+M107+M119+M131</f>
        <v>2282.973</v>
      </c>
      <c r="N46" s="322">
        <f>N47+N59+N71+N83+N95+N107+N119+N131</f>
        <v>75275.992000000027</v>
      </c>
      <c r="O46" s="322">
        <f>O47+O59+O71+O83+O95+O107+O119+O131</f>
        <v>94121.263000000006</v>
      </c>
    </row>
    <row r="47" spans="1:16" s="3" customFormat="1" ht="13.5" thickTop="1" thickBot="1">
      <c r="A47" s="862"/>
      <c r="B47" s="270" t="s">
        <v>85</v>
      </c>
      <c r="C47" s="271" t="s">
        <v>86</v>
      </c>
      <c r="D47" s="369">
        <f t="shared" ref="D47:D94" si="14">SUM(E47:I47)</f>
        <v>177870</v>
      </c>
      <c r="E47" s="370"/>
      <c r="F47" s="478">
        <f>11770-H49-H54</f>
        <v>1170</v>
      </c>
      <c r="G47" s="478">
        <f>1540-H50</f>
        <v>640</v>
      </c>
      <c r="H47" s="479">
        <f>61330+H49+H50+H54</f>
        <v>72830</v>
      </c>
      <c r="I47" s="478">
        <v>103230</v>
      </c>
      <c r="J47" s="590">
        <f t="shared" ref="J47:J94" si="15">SUM(K47:O47)</f>
        <v>167563.307</v>
      </c>
      <c r="K47" s="273"/>
      <c r="L47" s="273">
        <f>18419.709-N49-N54</f>
        <v>3648.6839999999984</v>
      </c>
      <c r="M47" s="273">
        <f>783.538-N50</f>
        <v>517.77599999999995</v>
      </c>
      <c r="N47" s="273">
        <f>53657.873+219.804+243.002+N49+N50+N54+703.557</f>
        <v>69861.023000000001</v>
      </c>
      <c r="O47" s="273">
        <f>243.788+69386.547+999.183+22906.306</f>
        <v>93535.824000000008</v>
      </c>
    </row>
    <row r="48" spans="1:16" ht="13.5" thickTop="1" thickBot="1">
      <c r="A48" s="862"/>
      <c r="B48" s="263" t="s">
        <v>87</v>
      </c>
      <c r="C48" s="263" t="s">
        <v>88</v>
      </c>
      <c r="D48" s="367">
        <f t="shared" si="14"/>
        <v>0</v>
      </c>
      <c r="E48" s="367"/>
      <c r="F48" s="367"/>
      <c r="G48" s="367"/>
      <c r="H48" s="367"/>
      <c r="I48" s="367"/>
      <c r="J48" s="265">
        <f t="shared" si="15"/>
        <v>0</v>
      </c>
      <c r="K48" s="265"/>
      <c r="L48" s="265"/>
      <c r="M48" s="265"/>
      <c r="N48" s="265"/>
      <c r="O48" s="265"/>
      <c r="P48" s="24"/>
    </row>
    <row r="49" spans="1:16" ht="13.5" thickTop="1" thickBot="1">
      <c r="A49" s="862"/>
      <c r="B49" s="275"/>
      <c r="C49" s="276" t="s">
        <v>89</v>
      </c>
      <c r="D49" s="371">
        <f t="shared" si="14"/>
        <v>9700</v>
      </c>
      <c r="E49" s="372"/>
      <c r="F49" s="372"/>
      <c r="G49" s="371"/>
      <c r="H49" s="373">
        <v>9700</v>
      </c>
      <c r="I49" s="372"/>
      <c r="J49" s="277">
        <f t="shared" si="15"/>
        <v>9262.8870000000006</v>
      </c>
      <c r="K49" s="278"/>
      <c r="L49" s="278"/>
      <c r="M49" s="277"/>
      <c r="N49" s="526">
        <v>9262.8870000000006</v>
      </c>
      <c r="O49" s="278"/>
      <c r="P49" s="321"/>
    </row>
    <row r="50" spans="1:16" ht="13.5" thickTop="1" thickBot="1">
      <c r="A50" s="862"/>
      <c r="B50" s="275"/>
      <c r="C50" s="276" t="s">
        <v>90</v>
      </c>
      <c r="D50" s="371">
        <f t="shared" si="14"/>
        <v>900</v>
      </c>
      <c r="E50" s="372"/>
      <c r="F50" s="372"/>
      <c r="G50" s="372"/>
      <c r="H50" s="371">
        <v>900</v>
      </c>
      <c r="I50" s="371"/>
      <c r="J50" s="277">
        <f t="shared" si="15"/>
        <v>265.76200000000006</v>
      </c>
      <c r="K50" s="278"/>
      <c r="L50" s="278"/>
      <c r="M50" s="278"/>
      <c r="N50" s="526">
        <v>265.76200000000006</v>
      </c>
      <c r="O50" s="277"/>
    </row>
    <row r="51" spans="1:16" ht="13.5" thickTop="1" thickBot="1">
      <c r="A51" s="862"/>
      <c r="B51" s="275"/>
      <c r="C51" s="276" t="s">
        <v>91</v>
      </c>
      <c r="D51" s="371">
        <f t="shared" si="14"/>
        <v>0</v>
      </c>
      <c r="E51" s="372"/>
      <c r="F51" s="372"/>
      <c r="G51" s="372"/>
      <c r="H51" s="372"/>
      <c r="I51" s="371"/>
      <c r="J51" s="277">
        <f t="shared" si="15"/>
        <v>0</v>
      </c>
      <c r="K51" s="278"/>
      <c r="L51" s="278"/>
      <c r="M51" s="278"/>
      <c r="N51" s="278"/>
      <c r="O51" s="277"/>
    </row>
    <row r="52" spans="1:16" ht="13.5" thickTop="1" thickBot="1">
      <c r="A52" s="862"/>
      <c r="B52" s="263" t="s">
        <v>92</v>
      </c>
      <c r="C52" s="263" t="s">
        <v>93</v>
      </c>
      <c r="D52" s="367">
        <f t="shared" si="14"/>
        <v>0</v>
      </c>
      <c r="E52" s="367"/>
      <c r="F52" s="384"/>
      <c r="G52" s="384"/>
      <c r="H52" s="384"/>
      <c r="I52" s="384"/>
      <c r="J52" s="265">
        <f t="shared" si="15"/>
        <v>0</v>
      </c>
      <c r="K52" s="387"/>
      <c r="L52" s="385"/>
      <c r="M52" s="340"/>
      <c r="N52" s="385"/>
      <c r="O52" s="340"/>
    </row>
    <row r="53" spans="1:16" ht="13.5" thickTop="1" thickBot="1">
      <c r="A53" s="862"/>
      <c r="B53" s="263" t="s">
        <v>94</v>
      </c>
      <c r="C53" s="263" t="s">
        <v>95</v>
      </c>
      <c r="D53" s="374">
        <f t="shared" si="14"/>
        <v>14206</v>
      </c>
      <c r="E53" s="376"/>
      <c r="F53" s="376"/>
      <c r="G53" s="375">
        <v>538</v>
      </c>
      <c r="H53" s="375">
        <f>12931+737</f>
        <v>13668</v>
      </c>
      <c r="I53" s="367"/>
      <c r="J53" s="464">
        <f t="shared" si="15"/>
        <v>18068.665000000005</v>
      </c>
      <c r="K53" s="238"/>
      <c r="L53" s="238"/>
      <c r="M53" s="281">
        <v>517.77599999999995</v>
      </c>
      <c r="N53" s="281">
        <v>17543.540000000005</v>
      </c>
      <c r="O53" s="281">
        <v>7.3490000000000002</v>
      </c>
    </row>
    <row r="54" spans="1:16" ht="13.5" thickTop="1" thickBot="1">
      <c r="A54" s="862"/>
      <c r="B54" s="275"/>
      <c r="C54" s="276" t="s">
        <v>89</v>
      </c>
      <c r="D54" s="371">
        <f t="shared" si="14"/>
        <v>900</v>
      </c>
      <c r="E54" s="377"/>
      <c r="F54" s="377"/>
      <c r="G54" s="376"/>
      <c r="H54" s="376">
        <v>900</v>
      </c>
      <c r="I54" s="372"/>
      <c r="J54" s="277">
        <f t="shared" si="15"/>
        <v>5508.1379999999999</v>
      </c>
      <c r="K54" s="282"/>
      <c r="L54" s="282"/>
      <c r="M54" s="238"/>
      <c r="N54" s="238">
        <v>5508.1379999999999</v>
      </c>
      <c r="O54" s="278"/>
    </row>
    <row r="55" spans="1:16" ht="13.5" thickTop="1" thickBot="1">
      <c r="A55" s="862"/>
      <c r="B55" s="275"/>
      <c r="C55" s="276" t="s">
        <v>90</v>
      </c>
      <c r="D55" s="371">
        <f t="shared" si="14"/>
        <v>0</v>
      </c>
      <c r="E55" s="372"/>
      <c r="F55" s="372"/>
      <c r="G55" s="372"/>
      <c r="H55" s="371"/>
      <c r="I55" s="371"/>
      <c r="J55" s="277">
        <f t="shared" si="15"/>
        <v>0</v>
      </c>
      <c r="K55" s="278"/>
      <c r="L55" s="278"/>
      <c r="M55" s="278"/>
      <c r="N55" s="277"/>
      <c r="O55" s="277"/>
    </row>
    <row r="56" spans="1:16" ht="13.5" thickTop="1" thickBot="1">
      <c r="A56" s="862"/>
      <c r="B56" s="275"/>
      <c r="C56" s="276" t="s">
        <v>91</v>
      </c>
      <c r="D56" s="371">
        <f t="shared" si="14"/>
        <v>0</v>
      </c>
      <c r="E56" s="372"/>
      <c r="F56" s="372"/>
      <c r="G56" s="372"/>
      <c r="H56" s="372"/>
      <c r="I56" s="371"/>
      <c r="J56" s="277">
        <f t="shared" si="15"/>
        <v>0</v>
      </c>
      <c r="K56" s="278"/>
      <c r="L56" s="278"/>
      <c r="M56" s="278"/>
      <c r="N56" s="278"/>
      <c r="O56" s="277"/>
    </row>
    <row r="57" spans="1:16" ht="13.5" thickTop="1" thickBot="1">
      <c r="A57" s="862"/>
      <c r="B57" s="263" t="s">
        <v>96</v>
      </c>
      <c r="C57" s="263" t="s">
        <v>97</v>
      </c>
      <c r="D57" s="367">
        <f t="shared" si="14"/>
        <v>222</v>
      </c>
      <c r="E57" s="367"/>
      <c r="F57" s="367"/>
      <c r="G57" s="367"/>
      <c r="H57" s="329">
        <v>222</v>
      </c>
      <c r="I57" s="367"/>
      <c r="J57" s="265">
        <f t="shared" si="15"/>
        <v>189.47501</v>
      </c>
      <c r="K57" s="265"/>
      <c r="L57" s="265"/>
      <c r="M57" s="265"/>
      <c r="N57" s="340">
        <v>189.47501</v>
      </c>
      <c r="O57" s="265"/>
    </row>
    <row r="58" spans="1:16" ht="13.5" thickTop="1" thickBot="1">
      <c r="A58" s="862"/>
      <c r="B58" s="263" t="s">
        <v>98</v>
      </c>
      <c r="C58" s="263" t="s">
        <v>99</v>
      </c>
      <c r="D58" s="367">
        <f t="shared" si="14"/>
        <v>0</v>
      </c>
      <c r="E58" s="367"/>
      <c r="F58" s="367"/>
      <c r="G58" s="367"/>
      <c r="H58" s="323"/>
      <c r="I58" s="367"/>
      <c r="J58" s="265">
        <f t="shared" si="15"/>
        <v>0</v>
      </c>
      <c r="K58" s="265"/>
      <c r="L58" s="265"/>
      <c r="M58" s="265"/>
      <c r="N58" s="283"/>
      <c r="O58" s="265"/>
    </row>
    <row r="59" spans="1:16" ht="13.5" thickTop="1" thickBot="1">
      <c r="A59" s="862"/>
      <c r="B59" s="204" t="s">
        <v>171</v>
      </c>
      <c r="C59" s="205" t="s">
        <v>190</v>
      </c>
      <c r="D59" s="325">
        <f t="shared" si="14"/>
        <v>2310</v>
      </c>
      <c r="E59" s="339"/>
      <c r="F59" s="339">
        <v>1570</v>
      </c>
      <c r="G59" s="284"/>
      <c r="H59" s="339">
        <v>310</v>
      </c>
      <c r="I59" s="339">
        <v>430</v>
      </c>
      <c r="J59" s="206">
        <f t="shared" si="15"/>
        <v>1979.8220000000001</v>
      </c>
      <c r="K59" s="339"/>
      <c r="L59" s="339">
        <v>965.46100000000001</v>
      </c>
      <c r="M59" s="214"/>
      <c r="N59" s="339">
        <v>428.92200000000003</v>
      </c>
      <c r="O59" s="339">
        <v>585.43899999999996</v>
      </c>
    </row>
    <row r="60" spans="1:16" ht="13.5" thickTop="1" thickBot="1">
      <c r="A60" s="862"/>
      <c r="B60" s="182" t="s">
        <v>172</v>
      </c>
      <c r="C60" s="182" t="s">
        <v>88</v>
      </c>
      <c r="D60" s="324">
        <f t="shared" si="14"/>
        <v>0</v>
      </c>
      <c r="E60" s="324"/>
      <c r="F60" s="324"/>
      <c r="G60" s="324"/>
      <c r="H60" s="324"/>
      <c r="I60" s="324"/>
      <c r="J60" s="196">
        <f t="shared" si="15"/>
        <v>0</v>
      </c>
      <c r="K60" s="196"/>
      <c r="L60" s="196"/>
      <c r="M60" s="196"/>
      <c r="N60" s="196"/>
      <c r="O60" s="196"/>
    </row>
    <row r="61" spans="1:16" ht="13.5" thickTop="1" thickBot="1">
      <c r="A61" s="862"/>
      <c r="B61" s="207"/>
      <c r="C61" s="208" t="s">
        <v>89</v>
      </c>
      <c r="D61" s="326">
        <f t="shared" si="14"/>
        <v>0</v>
      </c>
      <c r="E61" s="327"/>
      <c r="F61" s="327"/>
      <c r="G61" s="326"/>
      <c r="H61" s="326"/>
      <c r="I61" s="327"/>
      <c r="J61" s="209">
        <f t="shared" si="15"/>
        <v>0</v>
      </c>
      <c r="K61" s="210"/>
      <c r="L61" s="210"/>
      <c r="M61" s="381"/>
      <c r="N61" s="381"/>
      <c r="O61" s="210"/>
    </row>
    <row r="62" spans="1:16" ht="13.5" thickTop="1" thickBot="1">
      <c r="A62" s="862"/>
      <c r="B62" s="207"/>
      <c r="C62" s="208" t="s">
        <v>90</v>
      </c>
      <c r="D62" s="326">
        <f t="shared" si="14"/>
        <v>0</v>
      </c>
      <c r="E62" s="327"/>
      <c r="F62" s="327"/>
      <c r="G62" s="327"/>
      <c r="H62" s="326"/>
      <c r="I62" s="326"/>
      <c r="J62" s="209">
        <f t="shared" si="15"/>
        <v>0</v>
      </c>
      <c r="K62" s="210"/>
      <c r="L62" s="210"/>
      <c r="M62" s="382"/>
      <c r="N62" s="381"/>
      <c r="O62" s="209"/>
    </row>
    <row r="63" spans="1:16" ht="13.5" thickTop="1" thickBot="1">
      <c r="A63" s="862"/>
      <c r="B63" s="207"/>
      <c r="C63" s="208" t="s">
        <v>91</v>
      </c>
      <c r="D63" s="326">
        <f t="shared" si="14"/>
        <v>0</v>
      </c>
      <c r="E63" s="327"/>
      <c r="F63" s="327"/>
      <c r="G63" s="327"/>
      <c r="H63" s="327"/>
      <c r="I63" s="326"/>
      <c r="J63" s="209">
        <f t="shared" si="15"/>
        <v>0</v>
      </c>
      <c r="K63" s="210"/>
      <c r="L63" s="210"/>
      <c r="M63" s="210"/>
      <c r="N63" s="210"/>
      <c r="O63" s="209"/>
    </row>
    <row r="64" spans="1:16" ht="13.5" thickTop="1" thickBot="1">
      <c r="A64" s="862"/>
      <c r="B64" s="182" t="s">
        <v>173</v>
      </c>
      <c r="C64" s="182" t="s">
        <v>93</v>
      </c>
      <c r="D64" s="324">
        <f t="shared" si="14"/>
        <v>0</v>
      </c>
      <c r="E64" s="184"/>
      <c r="F64" s="184"/>
      <c r="G64" s="328"/>
      <c r="H64" s="328"/>
      <c r="I64" s="324"/>
      <c r="J64" s="196">
        <f t="shared" si="15"/>
        <v>0</v>
      </c>
      <c r="K64" s="334"/>
      <c r="L64" s="334"/>
      <c r="M64" s="211"/>
      <c r="N64" s="211"/>
      <c r="O64" s="196"/>
    </row>
    <row r="65" spans="1:15" ht="13.5" thickTop="1" thickBot="1">
      <c r="A65" s="862"/>
      <c r="B65" s="182" t="s">
        <v>174</v>
      </c>
      <c r="C65" s="182" t="s">
        <v>95</v>
      </c>
      <c r="D65" s="330">
        <f t="shared" si="14"/>
        <v>0</v>
      </c>
      <c r="E65" s="378"/>
      <c r="F65" s="326"/>
      <c r="G65" s="326"/>
      <c r="H65" s="326"/>
      <c r="I65" s="324"/>
      <c r="J65" s="213">
        <f t="shared" si="15"/>
        <v>0</v>
      </c>
      <c r="K65" s="319"/>
      <c r="L65" s="209"/>
      <c r="M65" s="209"/>
      <c r="N65" s="209"/>
      <c r="O65" s="196"/>
    </row>
    <row r="66" spans="1:15" ht="13.5" thickTop="1" thickBot="1">
      <c r="A66" s="862"/>
      <c r="B66" s="207"/>
      <c r="C66" s="208" t="s">
        <v>89</v>
      </c>
      <c r="D66" s="326">
        <f t="shared" si="14"/>
        <v>0</v>
      </c>
      <c r="E66" s="327"/>
      <c r="F66" s="327"/>
      <c r="G66" s="326"/>
      <c r="H66" s="326"/>
      <c r="I66" s="327"/>
      <c r="J66" s="209">
        <f t="shared" si="15"/>
        <v>0</v>
      </c>
      <c r="K66" s="210"/>
      <c r="L66" s="210"/>
      <c r="M66" s="209"/>
      <c r="N66" s="209"/>
      <c r="O66" s="210"/>
    </row>
    <row r="67" spans="1:15" ht="13.5" thickTop="1" thickBot="1">
      <c r="A67" s="862"/>
      <c r="B67" s="207"/>
      <c r="C67" s="208" t="s">
        <v>90</v>
      </c>
      <c r="D67" s="326">
        <f t="shared" si="14"/>
        <v>0</v>
      </c>
      <c r="E67" s="327"/>
      <c r="F67" s="327"/>
      <c r="G67" s="327"/>
      <c r="H67" s="326"/>
      <c r="I67" s="326"/>
      <c r="J67" s="209">
        <f t="shared" si="15"/>
        <v>0</v>
      </c>
      <c r="K67" s="210"/>
      <c r="L67" s="210"/>
      <c r="M67" s="210"/>
      <c r="N67" s="209"/>
      <c r="O67" s="209"/>
    </row>
    <row r="68" spans="1:15" ht="13.5" thickTop="1" thickBot="1">
      <c r="A68" s="862"/>
      <c r="B68" s="207"/>
      <c r="C68" s="208" t="s">
        <v>91</v>
      </c>
      <c r="D68" s="326">
        <f t="shared" si="14"/>
        <v>0</v>
      </c>
      <c r="E68" s="327"/>
      <c r="F68" s="327"/>
      <c r="G68" s="327"/>
      <c r="H68" s="327"/>
      <c r="I68" s="326"/>
      <c r="J68" s="209">
        <f t="shared" si="15"/>
        <v>0</v>
      </c>
      <c r="K68" s="210"/>
      <c r="L68" s="210"/>
      <c r="M68" s="210"/>
      <c r="N68" s="210"/>
      <c r="O68" s="209"/>
    </row>
    <row r="69" spans="1:15" ht="13.5" thickTop="1" thickBot="1">
      <c r="A69" s="862"/>
      <c r="B69" s="182" t="s">
        <v>176</v>
      </c>
      <c r="C69" s="182" t="s">
        <v>97</v>
      </c>
      <c r="D69" s="324">
        <f t="shared" si="14"/>
        <v>0</v>
      </c>
      <c r="E69" s="324"/>
      <c r="F69" s="324"/>
      <c r="G69" s="324"/>
      <c r="H69" s="323"/>
      <c r="I69" s="324"/>
      <c r="J69" s="196">
        <f t="shared" si="15"/>
        <v>0</v>
      </c>
      <c r="K69" s="196"/>
      <c r="L69" s="196"/>
      <c r="M69" s="196"/>
      <c r="N69" s="185"/>
      <c r="O69" s="196"/>
    </row>
    <row r="70" spans="1:15" ht="13.5" thickTop="1" thickBot="1">
      <c r="A70" s="862"/>
      <c r="B70" s="182" t="s">
        <v>175</v>
      </c>
      <c r="C70" s="182" t="s">
        <v>99</v>
      </c>
      <c r="D70" s="324">
        <f t="shared" si="14"/>
        <v>0</v>
      </c>
      <c r="E70" s="324"/>
      <c r="F70" s="324"/>
      <c r="G70" s="324"/>
      <c r="H70" s="323"/>
      <c r="I70" s="324"/>
      <c r="J70" s="196">
        <f t="shared" si="15"/>
        <v>0</v>
      </c>
      <c r="K70" s="196"/>
      <c r="L70" s="196"/>
      <c r="M70" s="196"/>
      <c r="N70" s="185"/>
      <c r="O70" s="196"/>
    </row>
    <row r="71" spans="1:15" ht="13.5" thickTop="1" thickBot="1">
      <c r="A71" s="862"/>
      <c r="B71" s="204" t="s">
        <v>177</v>
      </c>
      <c r="C71" s="205" t="s">
        <v>203</v>
      </c>
      <c r="D71" s="325">
        <f t="shared" si="14"/>
        <v>2360</v>
      </c>
      <c r="E71" s="284"/>
      <c r="F71" s="284"/>
      <c r="G71" s="339">
        <v>1020</v>
      </c>
      <c r="H71" s="339">
        <v>1340</v>
      </c>
      <c r="I71" s="284"/>
      <c r="J71" s="206">
        <f t="shared" si="15"/>
        <v>2519.3119999999999</v>
      </c>
      <c r="K71" s="284"/>
      <c r="L71" s="284"/>
      <c r="M71" s="350">
        <v>1765.1969999999999</v>
      </c>
      <c r="N71" s="350">
        <v>754.11500000000001</v>
      </c>
      <c r="O71" s="214"/>
    </row>
    <row r="72" spans="1:15" ht="13.5" thickTop="1" thickBot="1">
      <c r="A72" s="862"/>
      <c r="B72" s="182" t="s">
        <v>178</v>
      </c>
      <c r="C72" s="182" t="s">
        <v>88</v>
      </c>
      <c r="D72" s="324">
        <f t="shared" si="14"/>
        <v>0</v>
      </c>
      <c r="E72" s="324"/>
      <c r="F72" s="324"/>
      <c r="G72" s="324"/>
      <c r="H72" s="324"/>
      <c r="I72" s="324"/>
      <c r="J72" s="196">
        <f t="shared" si="15"/>
        <v>0</v>
      </c>
      <c r="K72" s="196"/>
      <c r="L72" s="196"/>
      <c r="M72" s="265"/>
      <c r="N72" s="265"/>
      <c r="O72" s="196"/>
    </row>
    <row r="73" spans="1:15" ht="13.5" thickTop="1" thickBot="1">
      <c r="A73" s="862"/>
      <c r="B73" s="207"/>
      <c r="C73" s="208" t="s">
        <v>89</v>
      </c>
      <c r="D73" s="326">
        <f t="shared" si="14"/>
        <v>803</v>
      </c>
      <c r="E73" s="327"/>
      <c r="F73" s="327"/>
      <c r="G73" s="602">
        <f>G71-G78</f>
        <v>82</v>
      </c>
      <c r="H73" s="602">
        <f>H71-H78</f>
        <v>721</v>
      </c>
      <c r="I73" s="327"/>
      <c r="J73" s="209">
        <f t="shared" si="15"/>
        <v>230.79999999999995</v>
      </c>
      <c r="K73" s="210"/>
      <c r="L73" s="210"/>
      <c r="M73" s="602">
        <f>M71-M78</f>
        <v>110.03199999999993</v>
      </c>
      <c r="N73" s="602">
        <f>N71-N78</f>
        <v>120.76800000000003</v>
      </c>
      <c r="O73" s="210"/>
    </row>
    <row r="74" spans="1:15" ht="13.5" thickTop="1" thickBot="1">
      <c r="A74" s="862"/>
      <c r="B74" s="207"/>
      <c r="C74" s="208" t="s">
        <v>90</v>
      </c>
      <c r="D74" s="326">
        <f t="shared" si="14"/>
        <v>0</v>
      </c>
      <c r="E74" s="327"/>
      <c r="F74" s="327"/>
      <c r="G74" s="630"/>
      <c r="H74" s="631"/>
      <c r="I74" s="326"/>
      <c r="J74" s="209">
        <f t="shared" si="15"/>
        <v>0</v>
      </c>
      <c r="K74" s="210"/>
      <c r="L74" s="210"/>
      <c r="M74" s="210"/>
      <c r="N74" s="320"/>
      <c r="O74" s="209"/>
    </row>
    <row r="75" spans="1:15" ht="13.5" thickTop="1" thickBot="1">
      <c r="A75" s="862"/>
      <c r="B75" s="207"/>
      <c r="C75" s="208" t="s">
        <v>91</v>
      </c>
      <c r="D75" s="326">
        <f t="shared" si="14"/>
        <v>0</v>
      </c>
      <c r="E75" s="327"/>
      <c r="F75" s="327"/>
      <c r="G75" s="630"/>
      <c r="H75" s="630"/>
      <c r="I75" s="326"/>
      <c r="J75" s="209">
        <f t="shared" si="15"/>
        <v>0</v>
      </c>
      <c r="K75" s="210"/>
      <c r="L75" s="210"/>
      <c r="M75" s="210"/>
      <c r="N75" s="210"/>
      <c r="O75" s="209"/>
    </row>
    <row r="76" spans="1:15" ht="13.5" thickTop="1" thickBot="1">
      <c r="A76" s="862"/>
      <c r="B76" s="182" t="s">
        <v>179</v>
      </c>
      <c r="C76" s="182" t="s">
        <v>93</v>
      </c>
      <c r="D76" s="324">
        <f t="shared" si="14"/>
        <v>0</v>
      </c>
      <c r="E76" s="324"/>
      <c r="F76" s="324"/>
      <c r="G76" s="632"/>
      <c r="H76" s="632"/>
      <c r="I76" s="324"/>
      <c r="J76" s="196">
        <f t="shared" si="15"/>
        <v>0</v>
      </c>
      <c r="K76" s="196"/>
      <c r="L76" s="196"/>
      <c r="M76" s="211"/>
      <c r="N76" s="211"/>
      <c r="O76" s="196"/>
    </row>
    <row r="77" spans="1:15" ht="13.5" thickTop="1" thickBot="1">
      <c r="A77" s="862"/>
      <c r="B77" s="182" t="s">
        <v>180</v>
      </c>
      <c r="C77" s="182" t="s">
        <v>95</v>
      </c>
      <c r="D77" s="330">
        <f t="shared" si="14"/>
        <v>0</v>
      </c>
      <c r="E77" s="380"/>
      <c r="F77" s="326"/>
      <c r="G77" s="602"/>
      <c r="H77" s="602"/>
      <c r="I77" s="324"/>
      <c r="J77" s="213">
        <f t="shared" si="15"/>
        <v>0</v>
      </c>
      <c r="K77" s="383"/>
      <c r="L77" s="209"/>
      <c r="M77" s="320"/>
      <c r="N77" s="320"/>
      <c r="O77" s="196"/>
    </row>
    <row r="78" spans="1:15" ht="13.5" thickTop="1" thickBot="1">
      <c r="A78" s="862"/>
      <c r="B78" s="207"/>
      <c r="C78" s="208" t="s">
        <v>89</v>
      </c>
      <c r="D78" s="326">
        <f t="shared" si="14"/>
        <v>1557</v>
      </c>
      <c r="E78" s="327"/>
      <c r="F78" s="327"/>
      <c r="G78" s="326">
        <v>938</v>
      </c>
      <c r="H78" s="326">
        <f>1203-584</f>
        <v>619</v>
      </c>
      <c r="I78" s="327"/>
      <c r="J78" s="209">
        <f t="shared" si="15"/>
        <v>2288.5119999999997</v>
      </c>
      <c r="K78" s="210"/>
      <c r="L78" s="210"/>
      <c r="M78" s="209">
        <v>1655.165</v>
      </c>
      <c r="N78" s="209">
        <v>633.34699999999998</v>
      </c>
      <c r="O78" s="210"/>
    </row>
    <row r="79" spans="1:15" ht="13.5" thickTop="1" thickBot="1">
      <c r="A79" s="862"/>
      <c r="B79" s="207"/>
      <c r="C79" s="208" t="s">
        <v>90</v>
      </c>
      <c r="D79" s="326">
        <f t="shared" si="14"/>
        <v>0</v>
      </c>
      <c r="E79" s="327"/>
      <c r="F79" s="327"/>
      <c r="G79" s="327"/>
      <c r="H79" s="326"/>
      <c r="I79" s="326"/>
      <c r="J79" s="209">
        <f t="shared" si="15"/>
        <v>0</v>
      </c>
      <c r="K79" s="210"/>
      <c r="L79" s="210"/>
      <c r="M79" s="210"/>
      <c r="N79" s="209"/>
      <c r="O79" s="209"/>
    </row>
    <row r="80" spans="1:15" ht="13.5" thickTop="1" thickBot="1">
      <c r="A80" s="862"/>
      <c r="B80" s="207"/>
      <c r="C80" s="208" t="s">
        <v>91</v>
      </c>
      <c r="D80" s="326">
        <f t="shared" si="14"/>
        <v>0</v>
      </c>
      <c r="E80" s="327"/>
      <c r="F80" s="327"/>
      <c r="G80" s="327"/>
      <c r="H80" s="327"/>
      <c r="I80" s="326"/>
      <c r="J80" s="209">
        <f t="shared" si="15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324">
        <f t="shared" si="14"/>
        <v>0</v>
      </c>
      <c r="E81" s="324"/>
      <c r="F81" s="324"/>
      <c r="G81" s="324"/>
      <c r="H81" s="323"/>
      <c r="I81" s="324"/>
      <c r="J81" s="196">
        <f t="shared" si="15"/>
        <v>0</v>
      </c>
      <c r="K81" s="196"/>
      <c r="L81" s="196"/>
      <c r="M81" s="196"/>
      <c r="N81" s="185"/>
      <c r="O81" s="196"/>
    </row>
    <row r="82" spans="1:15" ht="13.5" thickTop="1" thickBot="1">
      <c r="A82" s="862"/>
      <c r="B82" s="182" t="s">
        <v>182</v>
      </c>
      <c r="C82" s="182" t="s">
        <v>99</v>
      </c>
      <c r="D82" s="324">
        <f t="shared" si="14"/>
        <v>0</v>
      </c>
      <c r="E82" s="324"/>
      <c r="F82" s="324"/>
      <c r="G82" s="324"/>
      <c r="H82" s="323"/>
      <c r="I82" s="324"/>
      <c r="J82" s="196">
        <f t="shared" si="15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325">
        <f t="shared" si="14"/>
        <v>62960</v>
      </c>
      <c r="E83" s="284"/>
      <c r="F83" s="339">
        <v>62960</v>
      </c>
      <c r="G83" s="284"/>
      <c r="H83" s="284"/>
      <c r="I83" s="284"/>
      <c r="J83" s="206">
        <f t="shared" si="15"/>
        <v>65350.311000000002</v>
      </c>
      <c r="K83" s="284"/>
      <c r="L83" s="339">
        <v>65350.311000000002</v>
      </c>
      <c r="M83" s="214"/>
      <c r="N83" s="214"/>
      <c r="O83" s="214"/>
    </row>
    <row r="84" spans="1:15" ht="13.5" thickTop="1" thickBot="1">
      <c r="A84" s="862"/>
      <c r="B84" s="182" t="s">
        <v>184</v>
      </c>
      <c r="C84" s="182" t="s">
        <v>88</v>
      </c>
      <c r="D84" s="324">
        <f t="shared" si="14"/>
        <v>0</v>
      </c>
      <c r="E84" s="324"/>
      <c r="F84" s="324"/>
      <c r="G84" s="324"/>
      <c r="H84" s="324"/>
      <c r="I84" s="324"/>
      <c r="J84" s="196">
        <f t="shared" si="15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326">
        <f t="shared" si="14"/>
        <v>0</v>
      </c>
      <c r="E85" s="327"/>
      <c r="F85" s="327"/>
      <c r="G85" s="326"/>
      <c r="H85" s="326"/>
      <c r="I85" s="327"/>
      <c r="J85" s="209">
        <f t="shared" si="15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326">
        <f t="shared" si="14"/>
        <v>0</v>
      </c>
      <c r="E86" s="327"/>
      <c r="F86" s="327"/>
      <c r="G86" s="327"/>
      <c r="H86" s="326"/>
      <c r="I86" s="326"/>
      <c r="J86" s="209">
        <f t="shared" si="15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326">
        <f t="shared" si="14"/>
        <v>0</v>
      </c>
      <c r="E87" s="327"/>
      <c r="F87" s="327"/>
      <c r="G87" s="327"/>
      <c r="H87" s="327"/>
      <c r="I87" s="326"/>
      <c r="J87" s="209">
        <f t="shared" si="15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324">
        <f t="shared" si="14"/>
        <v>0</v>
      </c>
      <c r="E88" s="324"/>
      <c r="F88" s="324"/>
      <c r="G88" s="328"/>
      <c r="H88" s="328"/>
      <c r="I88" s="324"/>
      <c r="J88" s="196">
        <f t="shared" si="15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330">
        <f t="shared" si="14"/>
        <v>33016</v>
      </c>
      <c r="E89" s="380"/>
      <c r="F89" s="331">
        <v>33016</v>
      </c>
      <c r="G89" s="326"/>
      <c r="H89" s="326"/>
      <c r="I89" s="324"/>
      <c r="J89" s="213">
        <f t="shared" si="15"/>
        <v>25372.6</v>
      </c>
      <c r="K89" s="383"/>
      <c r="L89" s="320">
        <v>25372.6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326">
        <f t="shared" si="14"/>
        <v>0</v>
      </c>
      <c r="E90" s="327"/>
      <c r="F90" s="327"/>
      <c r="G90" s="326"/>
      <c r="H90" s="326"/>
      <c r="I90" s="327"/>
      <c r="J90" s="209">
        <f t="shared" si="15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326">
        <f t="shared" si="14"/>
        <v>0</v>
      </c>
      <c r="E91" s="327"/>
      <c r="F91" s="327"/>
      <c r="G91" s="327"/>
      <c r="H91" s="326"/>
      <c r="I91" s="326"/>
      <c r="J91" s="209">
        <f t="shared" si="15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326">
        <f t="shared" si="14"/>
        <v>0</v>
      </c>
      <c r="E92" s="327"/>
      <c r="F92" s="327"/>
      <c r="G92" s="327"/>
      <c r="H92" s="327"/>
      <c r="I92" s="326"/>
      <c r="J92" s="209">
        <f t="shared" si="15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324">
        <f t="shared" si="14"/>
        <v>0</v>
      </c>
      <c r="E93" s="324"/>
      <c r="F93" s="324"/>
      <c r="G93" s="324"/>
      <c r="H93" s="323"/>
      <c r="I93" s="324"/>
      <c r="J93" s="196">
        <f t="shared" si="15"/>
        <v>0</v>
      </c>
      <c r="K93" s="196"/>
      <c r="L93" s="196"/>
      <c r="M93" s="196"/>
      <c r="N93" s="185"/>
      <c r="O93" s="196"/>
    </row>
    <row r="94" spans="1:15" ht="13.5" thickTop="1" thickBot="1">
      <c r="A94" s="862"/>
      <c r="B94" s="182" t="s">
        <v>188</v>
      </c>
      <c r="C94" s="182" t="s">
        <v>99</v>
      </c>
      <c r="D94" s="324">
        <f t="shared" si="14"/>
        <v>0</v>
      </c>
      <c r="E94" s="324"/>
      <c r="F94" s="324"/>
      <c r="G94" s="324"/>
      <c r="H94" s="323"/>
      <c r="I94" s="324"/>
      <c r="J94" s="196">
        <f t="shared" si="15"/>
        <v>0</v>
      </c>
      <c r="K94" s="196"/>
      <c r="L94" s="196"/>
      <c r="M94" s="196"/>
      <c r="N94" s="196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>
        <f t="shared" ref="D95:D106" si="16">SUM(E95:I95)</f>
        <v>4490</v>
      </c>
      <c r="E95" s="284"/>
      <c r="F95" s="325"/>
      <c r="G95" s="284"/>
      <c r="H95" s="339">
        <v>4490</v>
      </c>
      <c r="I95" s="284"/>
      <c r="J95" s="206">
        <f t="shared" ref="J95:J106" si="17">SUM(K95:O95)</f>
        <v>3110.5279999999998</v>
      </c>
      <c r="K95" s="284"/>
      <c r="L95" s="325"/>
      <c r="M95" s="214"/>
      <c r="N95" s="339">
        <v>3110.5279999999998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6"/>
        <v>0</v>
      </c>
      <c r="E96" s="324"/>
      <c r="F96" s="324"/>
      <c r="G96" s="324"/>
      <c r="H96" s="324"/>
      <c r="I96" s="324"/>
      <c r="J96" s="196">
        <f t="shared" si="17"/>
        <v>0</v>
      </c>
      <c r="K96" s="196"/>
      <c r="L96" s="196"/>
      <c r="M96" s="196"/>
      <c r="N96" s="196"/>
      <c r="O96" s="196"/>
    </row>
    <row r="97" spans="1:15" ht="13.5" thickTop="1" thickBot="1">
      <c r="A97" s="862"/>
      <c r="B97" s="207"/>
      <c r="C97" s="208" t="s">
        <v>89</v>
      </c>
      <c r="D97" s="326">
        <f t="shared" si="16"/>
        <v>1090</v>
      </c>
      <c r="E97" s="327"/>
      <c r="F97" s="327"/>
      <c r="G97" s="326"/>
      <c r="H97" s="692">
        <v>1090</v>
      </c>
      <c r="I97" s="327"/>
      <c r="J97" s="209">
        <f t="shared" si="17"/>
        <v>905.73800000000006</v>
      </c>
      <c r="K97" s="210"/>
      <c r="L97" s="210"/>
      <c r="M97" s="209"/>
      <c r="N97" s="699">
        <v>905.73800000000006</v>
      </c>
      <c r="O97" s="210"/>
    </row>
    <row r="98" spans="1:15" ht="13.5" thickTop="1" thickBot="1">
      <c r="A98" s="862"/>
      <c r="B98" s="207"/>
      <c r="C98" s="208" t="s">
        <v>90</v>
      </c>
      <c r="D98" s="326">
        <f t="shared" si="16"/>
        <v>2130</v>
      </c>
      <c r="E98" s="327"/>
      <c r="F98" s="327"/>
      <c r="G98" s="327"/>
      <c r="H98" s="692">
        <v>2130</v>
      </c>
      <c r="I98" s="326"/>
      <c r="J98" s="209">
        <f t="shared" si="17"/>
        <v>888.4</v>
      </c>
      <c r="K98" s="210"/>
      <c r="L98" s="210"/>
      <c r="M98" s="210"/>
      <c r="N98" s="699">
        <v>888.4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6"/>
        <v>0</v>
      </c>
      <c r="E99" s="327"/>
      <c r="F99" s="327"/>
      <c r="G99" s="327"/>
      <c r="H99" s="327"/>
      <c r="I99" s="326"/>
      <c r="J99" s="209">
        <f t="shared" si="17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6"/>
        <v>0</v>
      </c>
      <c r="E100" s="324"/>
      <c r="F100" s="324"/>
      <c r="G100" s="328"/>
      <c r="H100" s="328"/>
      <c r="I100" s="324"/>
      <c r="J100" s="196">
        <f t="shared" si="17"/>
        <v>0</v>
      </c>
      <c r="K100" s="196"/>
      <c r="L100" s="196"/>
      <c r="M100" s="211"/>
      <c r="N100" s="339"/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6"/>
        <v>0</v>
      </c>
      <c r="E101" s="380"/>
      <c r="F101" s="331"/>
      <c r="G101" s="326"/>
      <c r="H101" s="326"/>
      <c r="I101" s="324"/>
      <c r="J101" s="213">
        <f t="shared" si="17"/>
        <v>0</v>
      </c>
      <c r="K101" s="383"/>
      <c r="L101" s="320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6"/>
        <v>0</v>
      </c>
      <c r="E102" s="327"/>
      <c r="F102" s="327"/>
      <c r="G102" s="326"/>
      <c r="H102" s="326"/>
      <c r="I102" s="327"/>
      <c r="J102" s="209">
        <f t="shared" si="17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6"/>
        <v>0</v>
      </c>
      <c r="E103" s="327"/>
      <c r="F103" s="327"/>
      <c r="G103" s="327"/>
      <c r="H103" s="326"/>
      <c r="I103" s="326"/>
      <c r="J103" s="209">
        <f t="shared" si="17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6"/>
        <v>0</v>
      </c>
      <c r="E104" s="327"/>
      <c r="F104" s="327"/>
      <c r="G104" s="327"/>
      <c r="H104" s="327"/>
      <c r="I104" s="326"/>
      <c r="J104" s="209">
        <f t="shared" si="17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6"/>
        <v>0</v>
      </c>
      <c r="E105" s="324"/>
      <c r="F105" s="324"/>
      <c r="G105" s="324"/>
      <c r="H105" s="324"/>
      <c r="I105" s="324"/>
      <c r="J105" s="196"/>
      <c r="K105" s="196"/>
      <c r="L105" s="196"/>
      <c r="M105" s="196"/>
      <c r="N105" s="185"/>
      <c r="O105" s="463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6"/>
        <v>0</v>
      </c>
      <c r="E106" s="324"/>
      <c r="F106" s="324"/>
      <c r="G106" s="324"/>
      <c r="H106" s="323"/>
      <c r="I106" s="324"/>
      <c r="J106" s="196">
        <f t="shared" si="17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>
        <f t="shared" ref="D107:D118" si="18">SUM(E107:I107)</f>
        <v>0</v>
      </c>
      <c r="E107" s="284"/>
      <c r="F107" s="325"/>
      <c r="G107" s="284"/>
      <c r="H107" s="339"/>
      <c r="I107" s="284"/>
      <c r="J107" s="206">
        <f t="shared" ref="J107:J118" si="19">SUM(K107:O107)</f>
        <v>753.92200000000003</v>
      </c>
      <c r="K107" s="284"/>
      <c r="L107" s="325"/>
      <c r="M107" s="214"/>
      <c r="N107" s="339">
        <v>753.92200000000003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8"/>
        <v>0</v>
      </c>
      <c r="E108" s="324"/>
      <c r="F108" s="324"/>
      <c r="G108" s="324"/>
      <c r="H108" s="324"/>
      <c r="I108" s="324"/>
      <c r="J108" s="196">
        <f t="shared" si="19"/>
        <v>0</v>
      </c>
      <c r="K108" s="196"/>
      <c r="L108" s="196"/>
      <c r="M108" s="196"/>
      <c r="N108" s="196"/>
      <c r="O108" s="196"/>
    </row>
    <row r="109" spans="1:15" ht="13.5" thickTop="1" thickBot="1">
      <c r="A109" s="862"/>
      <c r="B109" s="207"/>
      <c r="C109" s="208" t="s">
        <v>89</v>
      </c>
      <c r="D109" s="326">
        <f t="shared" si="18"/>
        <v>0</v>
      </c>
      <c r="E109" s="327"/>
      <c r="F109" s="327"/>
      <c r="G109" s="326"/>
      <c r="H109" s="339"/>
      <c r="I109" s="327"/>
      <c r="J109" s="209">
        <f t="shared" si="19"/>
        <v>753.92200000000003</v>
      </c>
      <c r="K109" s="210"/>
      <c r="L109" s="210"/>
      <c r="M109" s="209"/>
      <c r="N109" s="339">
        <v>753.92200000000003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8"/>
        <v>0</v>
      </c>
      <c r="E110" s="327"/>
      <c r="F110" s="327"/>
      <c r="G110" s="327"/>
      <c r="H110" s="339"/>
      <c r="I110" s="326"/>
      <c r="J110" s="209">
        <f t="shared" si="19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8"/>
        <v>0</v>
      </c>
      <c r="E111" s="327"/>
      <c r="F111" s="327"/>
      <c r="G111" s="327"/>
      <c r="H111" s="327"/>
      <c r="I111" s="326"/>
      <c r="J111" s="209">
        <f t="shared" si="19"/>
        <v>0</v>
      </c>
      <c r="K111" s="210"/>
      <c r="L111" s="210"/>
      <c r="M111" s="210"/>
      <c r="N111" s="210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8"/>
        <v>0</v>
      </c>
      <c r="E112" s="324"/>
      <c r="F112" s="324"/>
      <c r="G112" s="328"/>
      <c r="H112" s="328"/>
      <c r="I112" s="324"/>
      <c r="J112" s="196">
        <f t="shared" si="19"/>
        <v>0</v>
      </c>
      <c r="K112" s="196"/>
      <c r="L112" s="196"/>
      <c r="M112" s="211"/>
      <c r="N112" s="211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8"/>
        <v>0</v>
      </c>
      <c r="E113" s="380"/>
      <c r="F113" s="331"/>
      <c r="G113" s="326"/>
      <c r="H113" s="326"/>
      <c r="I113" s="324"/>
      <c r="J113" s="213">
        <f t="shared" si="19"/>
        <v>0</v>
      </c>
      <c r="K113" s="383"/>
      <c r="L113" s="320"/>
      <c r="M113" s="209"/>
      <c r="N113" s="209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8"/>
        <v>0</v>
      </c>
      <c r="E114" s="327"/>
      <c r="F114" s="327"/>
      <c r="G114" s="326"/>
      <c r="H114" s="326"/>
      <c r="I114" s="327"/>
      <c r="J114" s="209">
        <f t="shared" si="19"/>
        <v>0</v>
      </c>
      <c r="K114" s="210"/>
      <c r="L114" s="210"/>
      <c r="M114" s="209"/>
      <c r="N114" s="209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8"/>
        <v>0</v>
      </c>
      <c r="E115" s="327"/>
      <c r="F115" s="327"/>
      <c r="G115" s="327"/>
      <c r="H115" s="326"/>
      <c r="I115" s="326"/>
      <c r="J115" s="209">
        <f t="shared" si="19"/>
        <v>0</v>
      </c>
      <c r="K115" s="210"/>
      <c r="L115" s="210"/>
      <c r="M115" s="210"/>
      <c r="N115" s="209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8"/>
        <v>0</v>
      </c>
      <c r="E116" s="327"/>
      <c r="F116" s="327"/>
      <c r="G116" s="327"/>
      <c r="H116" s="327"/>
      <c r="I116" s="326"/>
      <c r="J116" s="209">
        <f t="shared" si="19"/>
        <v>0</v>
      </c>
      <c r="K116" s="210"/>
      <c r="L116" s="210"/>
      <c r="M116" s="210"/>
      <c r="N116" s="210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8"/>
        <v>0</v>
      </c>
      <c r="E117" s="324"/>
      <c r="F117" s="324"/>
      <c r="G117" s="324"/>
      <c r="H117" s="324"/>
      <c r="I117" s="324"/>
      <c r="J117" s="196">
        <f t="shared" si="19"/>
        <v>0</v>
      </c>
      <c r="K117" s="196"/>
      <c r="L117" s="196"/>
      <c r="M117" s="196"/>
      <c r="N117" s="185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8"/>
        <v>0</v>
      </c>
      <c r="E118" s="324"/>
      <c r="F118" s="324"/>
      <c r="G118" s="324"/>
      <c r="H118" s="323"/>
      <c r="I118" s="324"/>
      <c r="J118" s="196">
        <f t="shared" si="19"/>
        <v>0</v>
      </c>
      <c r="K118" s="196"/>
      <c r="L118" s="196"/>
      <c r="M118" s="196"/>
      <c r="N118" s="196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>
        <f t="shared" ref="D119:D130" si="20">SUM(E119:I119)</f>
        <v>0</v>
      </c>
      <c r="E119" s="284"/>
      <c r="F119" s="325"/>
      <c r="G119" s="284"/>
      <c r="H119" s="339"/>
      <c r="I119" s="284"/>
      <c r="J119" s="206">
        <f t="shared" ref="J119:J130" si="21">SUM(K119:O119)</f>
        <v>367.48200000000003</v>
      </c>
      <c r="K119" s="284"/>
      <c r="L119" s="325"/>
      <c r="M119" s="214"/>
      <c r="N119" s="339">
        <v>367.48200000000003</v>
      </c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20"/>
        <v>0</v>
      </c>
      <c r="E120" s="324"/>
      <c r="F120" s="324"/>
      <c r="G120" s="324"/>
      <c r="H120" s="324"/>
      <c r="I120" s="324"/>
      <c r="J120" s="196">
        <f t="shared" si="21"/>
        <v>0</v>
      </c>
      <c r="K120" s="196"/>
      <c r="L120" s="196"/>
      <c r="M120" s="196"/>
      <c r="N120" s="196"/>
      <c r="O120" s="196"/>
    </row>
    <row r="121" spans="1:15" ht="13.5" thickTop="1" thickBot="1">
      <c r="A121" s="862"/>
      <c r="B121" s="207"/>
      <c r="C121" s="208" t="s">
        <v>89</v>
      </c>
      <c r="D121" s="326">
        <f t="shared" si="20"/>
        <v>0</v>
      </c>
      <c r="E121" s="327"/>
      <c r="F121" s="327"/>
      <c r="G121" s="326"/>
      <c r="H121" s="339"/>
      <c r="I121" s="327"/>
      <c r="J121" s="209">
        <f t="shared" si="21"/>
        <v>367.48200000000003</v>
      </c>
      <c r="K121" s="210"/>
      <c r="L121" s="210"/>
      <c r="M121" s="209"/>
      <c r="N121" s="339">
        <v>367.48200000000003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20"/>
        <v>0</v>
      </c>
      <c r="E122" s="327"/>
      <c r="F122" s="327"/>
      <c r="G122" s="327"/>
      <c r="H122" s="339"/>
      <c r="I122" s="326"/>
      <c r="J122" s="209">
        <f t="shared" si="21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20"/>
        <v>0</v>
      </c>
      <c r="E123" s="327"/>
      <c r="F123" s="327"/>
      <c r="G123" s="327"/>
      <c r="H123" s="327"/>
      <c r="I123" s="326"/>
      <c r="J123" s="209">
        <f t="shared" si="21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20"/>
        <v>0</v>
      </c>
      <c r="E124" s="324"/>
      <c r="F124" s="324"/>
      <c r="G124" s="328"/>
      <c r="H124" s="328"/>
      <c r="I124" s="324"/>
      <c r="J124" s="196">
        <f t="shared" si="21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20"/>
        <v>0</v>
      </c>
      <c r="E125" s="380"/>
      <c r="F125" s="331"/>
      <c r="G125" s="326"/>
      <c r="H125" s="326"/>
      <c r="I125" s="324"/>
      <c r="J125" s="213">
        <f t="shared" si="21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20"/>
        <v>0</v>
      </c>
      <c r="E126" s="327"/>
      <c r="F126" s="327"/>
      <c r="G126" s="326"/>
      <c r="H126" s="326"/>
      <c r="I126" s="327"/>
      <c r="J126" s="209">
        <f t="shared" si="21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20"/>
        <v>0</v>
      </c>
      <c r="E127" s="327"/>
      <c r="F127" s="327"/>
      <c r="G127" s="327"/>
      <c r="H127" s="326"/>
      <c r="I127" s="326"/>
      <c r="J127" s="209">
        <f t="shared" si="21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20"/>
        <v>0</v>
      </c>
      <c r="E128" s="327"/>
      <c r="F128" s="327"/>
      <c r="G128" s="327"/>
      <c r="H128" s="327"/>
      <c r="I128" s="326"/>
      <c r="J128" s="209">
        <f t="shared" si="21"/>
        <v>0</v>
      </c>
      <c r="K128" s="210"/>
      <c r="L128" s="210"/>
      <c r="M128" s="210"/>
      <c r="N128" s="210"/>
      <c r="O128" s="209"/>
    </row>
    <row r="129" spans="1:18" ht="13.5" thickTop="1" thickBot="1">
      <c r="A129" s="862"/>
      <c r="B129" s="182" t="s">
        <v>246</v>
      </c>
      <c r="C129" s="182" t="s">
        <v>97</v>
      </c>
      <c r="D129" s="324">
        <f t="shared" si="20"/>
        <v>0</v>
      </c>
      <c r="E129" s="324"/>
      <c r="F129" s="324"/>
      <c r="G129" s="324"/>
      <c r="H129" s="324"/>
      <c r="I129" s="324"/>
      <c r="J129" s="196">
        <f t="shared" si="21"/>
        <v>0</v>
      </c>
      <c r="K129" s="196"/>
      <c r="L129" s="196"/>
      <c r="M129" s="196"/>
      <c r="N129" s="185"/>
      <c r="O129" s="196"/>
    </row>
    <row r="130" spans="1:18" ht="13.5" thickTop="1" thickBot="1">
      <c r="A130" s="862"/>
      <c r="B130" s="182" t="s">
        <v>247</v>
      </c>
      <c r="C130" s="182" t="s">
        <v>99</v>
      </c>
      <c r="D130" s="324">
        <f t="shared" si="20"/>
        <v>0</v>
      </c>
      <c r="E130" s="324"/>
      <c r="F130" s="324"/>
      <c r="G130" s="324"/>
      <c r="H130" s="323"/>
      <c r="I130" s="324"/>
      <c r="J130" s="196">
        <f t="shared" si="21"/>
        <v>0</v>
      </c>
      <c r="K130" s="196"/>
      <c r="L130" s="196"/>
      <c r="M130" s="196"/>
      <c r="N130" s="196"/>
      <c r="O130" s="196"/>
    </row>
    <row r="131" spans="1:18" ht="13.5" thickTop="1" thickBot="1">
      <c r="A131" s="862"/>
      <c r="B131" s="204" t="s">
        <v>250</v>
      </c>
      <c r="C131" s="595" t="s">
        <v>249</v>
      </c>
      <c r="D131" s="325">
        <f t="shared" ref="D131:D142" si="22">SUM(E131:I131)</f>
        <v>0</v>
      </c>
      <c r="E131" s="284"/>
      <c r="F131" s="325"/>
      <c r="G131" s="284"/>
      <c r="H131" s="339"/>
      <c r="I131" s="284"/>
      <c r="J131" s="206">
        <f t="shared" ref="J131:J142" si="23">SUM(K131:O131)</f>
        <v>0</v>
      </c>
      <c r="K131" s="284"/>
      <c r="L131" s="325"/>
      <c r="M131" s="214"/>
      <c r="N131" s="339"/>
      <c r="O131" s="214"/>
    </row>
    <row r="132" spans="1:18" ht="13.5" thickTop="1" thickBot="1">
      <c r="A132" s="862"/>
      <c r="B132" s="182" t="s">
        <v>251</v>
      </c>
      <c r="C132" s="182" t="s">
        <v>88</v>
      </c>
      <c r="D132" s="324">
        <f t="shared" si="22"/>
        <v>0</v>
      </c>
      <c r="E132" s="324"/>
      <c r="F132" s="324"/>
      <c r="G132" s="324"/>
      <c r="H132" s="324"/>
      <c r="I132" s="324"/>
      <c r="J132" s="196">
        <f t="shared" si="23"/>
        <v>0</v>
      </c>
      <c r="K132" s="196"/>
      <c r="L132" s="196"/>
      <c r="M132" s="196"/>
      <c r="N132" s="196"/>
      <c r="O132" s="196"/>
    </row>
    <row r="133" spans="1:18" ht="13.5" thickTop="1" thickBot="1">
      <c r="A133" s="862"/>
      <c r="B133" s="207"/>
      <c r="C133" s="208" t="s">
        <v>89</v>
      </c>
      <c r="D133" s="326">
        <f t="shared" si="22"/>
        <v>0</v>
      </c>
      <c r="E133" s="327"/>
      <c r="F133" s="327"/>
      <c r="G133" s="326"/>
      <c r="H133" s="339"/>
      <c r="I133" s="327"/>
      <c r="J133" s="209">
        <f t="shared" si="23"/>
        <v>0</v>
      </c>
      <c r="K133" s="210"/>
      <c r="L133" s="210"/>
      <c r="M133" s="209"/>
      <c r="N133" s="339"/>
      <c r="O133" s="210"/>
    </row>
    <row r="134" spans="1:18" ht="13.5" thickTop="1" thickBot="1">
      <c r="A134" s="862"/>
      <c r="B134" s="207"/>
      <c r="C134" s="208" t="s">
        <v>90</v>
      </c>
      <c r="D134" s="326">
        <f t="shared" si="22"/>
        <v>0</v>
      </c>
      <c r="E134" s="327"/>
      <c r="F134" s="327"/>
      <c r="G134" s="327"/>
      <c r="H134" s="339"/>
      <c r="I134" s="326"/>
      <c r="J134" s="209">
        <f t="shared" si="23"/>
        <v>0</v>
      </c>
      <c r="K134" s="210"/>
      <c r="L134" s="210"/>
      <c r="M134" s="210"/>
      <c r="N134" s="699"/>
      <c r="O134" s="209"/>
    </row>
    <row r="135" spans="1:18" ht="13.5" thickTop="1" thickBot="1">
      <c r="A135" s="862"/>
      <c r="B135" s="207"/>
      <c r="C135" s="208" t="s">
        <v>91</v>
      </c>
      <c r="D135" s="326">
        <f t="shared" si="22"/>
        <v>0</v>
      </c>
      <c r="E135" s="327"/>
      <c r="F135" s="327"/>
      <c r="G135" s="327"/>
      <c r="H135" s="327"/>
      <c r="I135" s="326"/>
      <c r="J135" s="209">
        <f t="shared" si="23"/>
        <v>0</v>
      </c>
      <c r="K135" s="210"/>
      <c r="L135" s="210"/>
      <c r="M135" s="210"/>
      <c r="N135" s="210"/>
      <c r="O135" s="209"/>
    </row>
    <row r="136" spans="1:18" ht="13.5" thickTop="1" thickBot="1">
      <c r="A136" s="862"/>
      <c r="B136" s="182" t="s">
        <v>252</v>
      </c>
      <c r="C136" s="182" t="s">
        <v>93</v>
      </c>
      <c r="D136" s="324">
        <f t="shared" si="22"/>
        <v>0</v>
      </c>
      <c r="E136" s="324"/>
      <c r="F136" s="324"/>
      <c r="G136" s="328"/>
      <c r="H136" s="328"/>
      <c r="I136" s="324"/>
      <c r="J136" s="196">
        <f t="shared" si="23"/>
        <v>0</v>
      </c>
      <c r="K136" s="196"/>
      <c r="L136" s="196"/>
      <c r="M136" s="211"/>
      <c r="N136" s="211"/>
      <c r="O136" s="196"/>
    </row>
    <row r="137" spans="1:18" ht="13.5" thickTop="1" thickBot="1">
      <c r="A137" s="862"/>
      <c r="B137" s="182" t="s">
        <v>253</v>
      </c>
      <c r="C137" s="182" t="s">
        <v>95</v>
      </c>
      <c r="D137" s="330">
        <f t="shared" si="22"/>
        <v>0</v>
      </c>
      <c r="E137" s="380"/>
      <c r="F137" s="331"/>
      <c r="G137" s="326"/>
      <c r="H137" s="326"/>
      <c r="I137" s="324"/>
      <c r="J137" s="213">
        <f t="shared" si="23"/>
        <v>0</v>
      </c>
      <c r="K137" s="383"/>
      <c r="L137" s="320"/>
      <c r="M137" s="209"/>
      <c r="N137" s="209"/>
      <c r="O137" s="196"/>
    </row>
    <row r="138" spans="1:18" ht="13.5" thickTop="1" thickBot="1">
      <c r="A138" s="862"/>
      <c r="B138" s="207"/>
      <c r="C138" s="208" t="s">
        <v>89</v>
      </c>
      <c r="D138" s="326">
        <f t="shared" si="22"/>
        <v>0</v>
      </c>
      <c r="E138" s="327"/>
      <c r="F138" s="327"/>
      <c r="G138" s="326"/>
      <c r="H138" s="326"/>
      <c r="I138" s="327"/>
      <c r="J138" s="209">
        <f t="shared" si="23"/>
        <v>0</v>
      </c>
      <c r="K138" s="210"/>
      <c r="L138" s="210"/>
      <c r="M138" s="209"/>
      <c r="N138" s="209"/>
      <c r="O138" s="210"/>
    </row>
    <row r="139" spans="1:18" ht="13.5" thickTop="1" thickBot="1">
      <c r="A139" s="862"/>
      <c r="B139" s="207"/>
      <c r="C139" s="208" t="s">
        <v>90</v>
      </c>
      <c r="D139" s="326">
        <f t="shared" si="22"/>
        <v>0</v>
      </c>
      <c r="E139" s="327"/>
      <c r="F139" s="327"/>
      <c r="G139" s="327"/>
      <c r="H139" s="326"/>
      <c r="I139" s="326"/>
      <c r="J139" s="209">
        <f t="shared" si="23"/>
        <v>0</v>
      </c>
      <c r="K139" s="210"/>
      <c r="L139" s="210"/>
      <c r="M139" s="210"/>
      <c r="N139" s="209"/>
      <c r="O139" s="209"/>
    </row>
    <row r="140" spans="1:18" ht="13.5" thickTop="1" thickBot="1">
      <c r="A140" s="862"/>
      <c r="B140" s="207"/>
      <c r="C140" s="208" t="s">
        <v>91</v>
      </c>
      <c r="D140" s="326">
        <f t="shared" si="22"/>
        <v>0</v>
      </c>
      <c r="E140" s="327"/>
      <c r="F140" s="327"/>
      <c r="G140" s="327"/>
      <c r="H140" s="327"/>
      <c r="I140" s="326"/>
      <c r="J140" s="209">
        <f t="shared" si="23"/>
        <v>0</v>
      </c>
      <c r="K140" s="210"/>
      <c r="L140" s="210"/>
      <c r="M140" s="210"/>
      <c r="N140" s="210"/>
      <c r="O140" s="209"/>
    </row>
    <row r="141" spans="1:18" ht="13.5" thickTop="1" thickBot="1">
      <c r="A141" s="862"/>
      <c r="B141" s="182" t="s">
        <v>254</v>
      </c>
      <c r="C141" s="182" t="s">
        <v>97</v>
      </c>
      <c r="D141" s="324">
        <f t="shared" si="22"/>
        <v>0</v>
      </c>
      <c r="E141" s="324"/>
      <c r="F141" s="324"/>
      <c r="G141" s="324"/>
      <c r="H141" s="324"/>
      <c r="I141" s="324"/>
      <c r="J141" s="196">
        <f t="shared" si="23"/>
        <v>0</v>
      </c>
      <c r="K141" s="196"/>
      <c r="L141" s="196"/>
      <c r="M141" s="196"/>
      <c r="N141" s="185"/>
      <c r="O141" s="196"/>
    </row>
    <row r="142" spans="1:18" ht="13.5" thickTop="1" thickBot="1">
      <c r="A142" s="862"/>
      <c r="B142" s="182" t="s">
        <v>255</v>
      </c>
      <c r="C142" s="182" t="s">
        <v>99</v>
      </c>
      <c r="D142" s="324">
        <f t="shared" si="22"/>
        <v>0</v>
      </c>
      <c r="E142" s="324"/>
      <c r="F142" s="324"/>
      <c r="G142" s="324"/>
      <c r="H142" s="323"/>
      <c r="I142" s="324"/>
      <c r="J142" s="196">
        <f t="shared" si="23"/>
        <v>0</v>
      </c>
      <c r="K142" s="196"/>
      <c r="L142" s="196"/>
      <c r="M142" s="196"/>
      <c r="N142" s="196"/>
      <c r="O142" s="196"/>
    </row>
    <row r="143" spans="1:18" ht="12.75" customHeight="1" thickTop="1" thickBot="1">
      <c r="A143" s="862"/>
      <c r="B143" s="257" t="s">
        <v>100</v>
      </c>
      <c r="C143" s="257" t="s">
        <v>101</v>
      </c>
      <c r="D143" s="285">
        <f>SUM(E143:I143)</f>
        <v>248351.50000000003</v>
      </c>
      <c r="E143" s="386">
        <f>SUM(E144:E147)</f>
        <v>0</v>
      </c>
      <c r="F143" s="386">
        <f>SUM(F144:F147)</f>
        <v>79750</v>
      </c>
      <c r="G143" s="386">
        <f>SUM(G144:G147)</f>
        <v>3520.3</v>
      </c>
      <c r="H143" s="386">
        <f>SUM(H144:H147)</f>
        <v>62085.9</v>
      </c>
      <c r="I143" s="261">
        <f>SUM(I144:I147)</f>
        <v>102995.30000000002</v>
      </c>
      <c r="J143" s="617">
        <f>SUM(K143:O143)</f>
        <v>240262.23699999999</v>
      </c>
      <c r="K143" s="618">
        <f>SUM(K144:K147)</f>
        <v>0</v>
      </c>
      <c r="L143" s="618">
        <f>SUM(L144:L147)</f>
        <v>89281.934999999998</v>
      </c>
      <c r="M143" s="618">
        <f>SUM(M144:M147)</f>
        <v>1671.9380000000001</v>
      </c>
      <c r="N143" s="618">
        <f>SUM(N144:N147)</f>
        <v>56308.182000000001</v>
      </c>
      <c r="O143" s="617">
        <f>SUM(O144:O147)</f>
        <v>93000.182000000001</v>
      </c>
      <c r="P143" s="24"/>
      <c r="R143" s="25"/>
    </row>
    <row r="144" spans="1:18" ht="12.75" customHeight="1" thickTop="1" thickBot="1">
      <c r="A144" s="862"/>
      <c r="B144" s="249" t="s">
        <v>102</v>
      </c>
      <c r="C144" s="250" t="s">
        <v>103</v>
      </c>
      <c r="D144" s="358">
        <f>SUM(E144:I144)</f>
        <v>69506.332510000007</v>
      </c>
      <c r="E144" s="252"/>
      <c r="F144" s="287"/>
      <c r="G144" s="287"/>
      <c r="H144" s="287"/>
      <c r="I144" s="616">
        <v>69506.332510000007</v>
      </c>
      <c r="J144" s="358">
        <f>SUM(K144:O144)</f>
        <v>68822.027000000002</v>
      </c>
      <c r="K144" s="252"/>
      <c r="L144" s="287"/>
      <c r="M144" s="287"/>
      <c r="N144" s="287"/>
      <c r="O144" s="288">
        <v>68822.027000000002</v>
      </c>
      <c r="P144" s="24"/>
    </row>
    <row r="145" spans="1:20" ht="12.75" customHeight="1" thickTop="1" thickBot="1">
      <c r="A145" s="862"/>
      <c r="B145" s="249" t="s">
        <v>104</v>
      </c>
      <c r="C145" s="250" t="s">
        <v>206</v>
      </c>
      <c r="D145" s="358">
        <f>SUM(E145:I145)</f>
        <v>0</v>
      </c>
      <c r="E145" s="252"/>
      <c r="F145" s="287"/>
      <c r="G145" s="287"/>
      <c r="H145" s="287"/>
      <c r="I145" s="616"/>
      <c r="J145" s="358">
        <f>SUM(K145:O145)</f>
        <v>0</v>
      </c>
      <c r="K145" s="252"/>
      <c r="L145" s="287"/>
      <c r="M145" s="287"/>
      <c r="N145" s="287"/>
      <c r="O145" s="288"/>
      <c r="P145" s="711"/>
    </row>
    <row r="146" spans="1:20" ht="12.75" customHeight="1" thickTop="1" thickBot="1">
      <c r="A146" s="862"/>
      <c r="B146" s="249" t="s">
        <v>106</v>
      </c>
      <c r="C146" s="250" t="s">
        <v>105</v>
      </c>
      <c r="D146" s="358">
        <f>SUM(E146:I146)</f>
        <v>178845.16749000002</v>
      </c>
      <c r="E146" s="289"/>
      <c r="F146" s="290">
        <v>79750</v>
      </c>
      <c r="G146" s="290">
        <v>3520.3</v>
      </c>
      <c r="H146" s="290">
        <v>62085.9</v>
      </c>
      <c r="I146" s="679">
        <v>33488.96749000001</v>
      </c>
      <c r="J146" s="358">
        <f>SUM(K146:O146)</f>
        <v>156266.04999999999</v>
      </c>
      <c r="K146" s="289"/>
      <c r="L146" s="679">
        <v>89281.934999999998</v>
      </c>
      <c r="M146" s="679">
        <v>1567.615</v>
      </c>
      <c r="N146" s="329">
        <v>44740.754000000001</v>
      </c>
      <c r="O146" s="679">
        <v>20675.745999999999</v>
      </c>
      <c r="P146" s="710"/>
      <c r="R146" s="24"/>
    </row>
    <row r="147" spans="1:20" ht="12.75" customHeight="1" thickTop="1" thickBot="1">
      <c r="A147" s="862"/>
      <c r="B147" s="249" t="s">
        <v>207</v>
      </c>
      <c r="C147" s="250" t="s">
        <v>107</v>
      </c>
      <c r="D147" s="358">
        <f>SUM(E147:I147)</f>
        <v>0</v>
      </c>
      <c r="E147" s="289"/>
      <c r="F147" s="290"/>
      <c r="G147" s="290"/>
      <c r="H147" s="290"/>
      <c r="I147" s="290"/>
      <c r="J147" s="252">
        <f>SUM(K147:O147)</f>
        <v>15174.16</v>
      </c>
      <c r="K147" s="289"/>
      <c r="L147" s="290"/>
      <c r="M147" s="619">
        <v>104.32299999999999</v>
      </c>
      <c r="N147" s="619">
        <v>11567.428</v>
      </c>
      <c r="O147" s="619">
        <v>3502.4090000000001</v>
      </c>
    </row>
    <row r="148" spans="1:20" ht="12.75" customHeight="1" thickTop="1" thickBot="1">
      <c r="A148" s="862"/>
      <c r="B148" s="249" t="s">
        <v>108</v>
      </c>
      <c r="C148" s="249" t="s">
        <v>169</v>
      </c>
      <c r="D148" s="291">
        <f>D150/1.18/D143</f>
        <v>1.1751816966318271</v>
      </c>
      <c r="E148" s="596">
        <v>0.68011999999999995</v>
      </c>
      <c r="F148" s="596">
        <v>0.68011999999999995</v>
      </c>
      <c r="G148" s="596">
        <v>0.88303000000000009</v>
      </c>
      <c r="H148" s="596">
        <v>1.42133</v>
      </c>
      <c r="I148" s="596">
        <v>2.0129099999999998</v>
      </c>
      <c r="J148" s="291">
        <f>J150/1.18/J143</f>
        <v>1.1193009649723691</v>
      </c>
      <c r="K148" s="596">
        <v>0.67361627394029933</v>
      </c>
      <c r="L148" s="596">
        <v>0.67361627394029933</v>
      </c>
      <c r="M148" s="596">
        <v>0.84559251009307768</v>
      </c>
      <c r="N148" s="596">
        <v>1.4101467851492702</v>
      </c>
      <c r="O148" s="596">
        <v>2.0104062554802056</v>
      </c>
    </row>
    <row r="149" spans="1:20" ht="12.75" customHeight="1" thickTop="1" thickBot="1">
      <c r="A149" s="862"/>
      <c r="B149" s="249" t="s">
        <v>205</v>
      </c>
      <c r="C149" s="249" t="s">
        <v>169</v>
      </c>
      <c r="D149" s="291"/>
      <c r="E149" s="289"/>
      <c r="F149" s="290"/>
      <c r="G149" s="290"/>
      <c r="H149" s="290"/>
      <c r="I149" s="598">
        <v>1.2726900000000001</v>
      </c>
      <c r="J149" s="291"/>
      <c r="K149" s="289"/>
      <c r="L149" s="290"/>
      <c r="M149" s="290"/>
      <c r="N149" s="290"/>
      <c r="O149" s="598">
        <v>1.2726900000000001</v>
      </c>
      <c r="P149" s="24"/>
    </row>
    <row r="150" spans="1:20" ht="12.75" customHeight="1" thickTop="1" thickBot="1">
      <c r="A150" s="862"/>
      <c r="B150" s="249" t="s">
        <v>109</v>
      </c>
      <c r="C150" s="292" t="s">
        <v>110</v>
      </c>
      <c r="D150" s="285">
        <f>SUM(E150:I150)</f>
        <v>344392.60181464988</v>
      </c>
      <c r="E150" s="597">
        <f>E143*E148*1.18</f>
        <v>0</v>
      </c>
      <c r="F150" s="597">
        <f>(F143*F148-F195)*1.18</f>
        <v>52669.01975308152</v>
      </c>
      <c r="G150" s="597">
        <f>G143*G148*1.18</f>
        <v>3668.0660006200005</v>
      </c>
      <c r="H150" s="597">
        <f>H143*H148*1.18</f>
        <v>104128.57165145999</v>
      </c>
      <c r="I150" s="597">
        <f>(I148*I146+I147*I148+I149*I144+I149*I145)*1.18</f>
        <v>183926.94440948841</v>
      </c>
      <c r="J150" s="261">
        <f>SUM(K150:O150)</f>
        <v>317332.38939021359</v>
      </c>
      <c r="K150" s="261">
        <f>K143*K148*1.18</f>
        <v>0</v>
      </c>
      <c r="L150" s="285">
        <f>(L143*L148-L195)*1.18</f>
        <v>61256.341772958396</v>
      </c>
      <c r="M150" s="261">
        <f>M143*M148*1.18</f>
        <v>1668.2583351652002</v>
      </c>
      <c r="N150" s="261">
        <f>N143*N148*1.18</f>
        <v>93695.306153382</v>
      </c>
      <c r="O150" s="597">
        <f>(O148*O146+O147*O148+O149*O144+O149*O145)*1.18</f>
        <v>160712.483128708</v>
      </c>
    </row>
    <row r="151" spans="1:20" ht="12.75" customHeight="1" thickTop="1" thickBot="1">
      <c r="A151" s="863" t="s">
        <v>111</v>
      </c>
      <c r="B151" s="220" t="s">
        <v>112</v>
      </c>
      <c r="C151" s="221" t="s">
        <v>113</v>
      </c>
      <c r="D151" s="379">
        <f>SUM(E151:I151)</f>
        <v>33700</v>
      </c>
      <c r="E151" s="222">
        <f>E44-E34-E46</f>
        <v>0</v>
      </c>
      <c r="F151" s="222">
        <f t="shared" ref="F151:I151" si="24">F44-F34-F46</f>
        <v>4000</v>
      </c>
      <c r="G151" s="222">
        <f t="shared" si="24"/>
        <v>1900</v>
      </c>
      <c r="H151" s="222">
        <f t="shared" si="24"/>
        <v>8000</v>
      </c>
      <c r="I151" s="222">
        <f t="shared" si="24"/>
        <v>19800</v>
      </c>
      <c r="J151" s="379">
        <f>SUM(K151:O151)</f>
        <v>33933.136999999973</v>
      </c>
      <c r="K151" s="335">
        <f>K44-K34-K46</f>
        <v>0</v>
      </c>
      <c r="L151" s="222">
        <f>L44-L34-L46</f>
        <v>3801.0449999999837</v>
      </c>
      <c r="M151" s="222">
        <f>M44-M34-M46</f>
        <v>1461.9400000000005</v>
      </c>
      <c r="N151" s="222">
        <f>N44-N34-N46</f>
        <v>7777.5229999999574</v>
      </c>
      <c r="O151" s="222">
        <f>O44-O34-O46</f>
        <v>20892.62900000003</v>
      </c>
    </row>
    <row r="152" spans="1:20" ht="12.75" customHeight="1" thickTop="1" thickBot="1">
      <c r="A152" s="863"/>
      <c r="B152" s="234" t="s">
        <v>114</v>
      </c>
      <c r="C152" s="179" t="s">
        <v>115</v>
      </c>
      <c r="D152" s="346">
        <f t="shared" ref="D152:J152" si="25">IF(D44=0,0,D151/D44*100)</f>
        <v>11.879163876061899</v>
      </c>
      <c r="E152" s="346">
        <f t="shared" si="25"/>
        <v>0</v>
      </c>
      <c r="F152" s="346">
        <f t="shared" si="25"/>
        <v>1.8216595318335003</v>
      </c>
      <c r="G152" s="346">
        <f t="shared" si="25"/>
        <v>2.2205600486185779</v>
      </c>
      <c r="H152" s="346">
        <f t="shared" si="25"/>
        <v>3.8019199695846404</v>
      </c>
      <c r="I152" s="346">
        <f t="shared" si="25"/>
        <v>16.037583022841407</v>
      </c>
      <c r="J152" s="346">
        <f t="shared" si="25"/>
        <v>12.313449927452606</v>
      </c>
      <c r="K152" s="346">
        <f>IF(K44=0,0,K151/K44*100)</f>
        <v>0</v>
      </c>
      <c r="L152" s="346">
        <f t="shared" ref="L152:O152" si="26">IF(L44=0,0,L151/L44*100)</f>
        <v>1.7571388699964849</v>
      </c>
      <c r="M152" s="346">
        <f t="shared" si="26"/>
        <v>1.8493814998260063</v>
      </c>
      <c r="N152" s="346">
        <f t="shared" si="26"/>
        <v>3.9267611604255319</v>
      </c>
      <c r="O152" s="346">
        <f t="shared" si="26"/>
        <v>18.165309108920532</v>
      </c>
      <c r="Q152" s="321"/>
      <c r="R152" s="321"/>
      <c r="S152" s="321"/>
      <c r="T152" s="321"/>
    </row>
    <row r="153" spans="1:20" ht="12.75" customHeight="1" thickTop="1" thickBot="1">
      <c r="A153" s="863"/>
      <c r="B153" s="234" t="s">
        <v>116</v>
      </c>
      <c r="C153" s="179" t="s">
        <v>117</v>
      </c>
      <c r="D153" s="346">
        <f t="shared" ref="D153:J153" si="27">IF(D45=0,0,D151/D45*100)</f>
        <v>11.879163876061899</v>
      </c>
      <c r="E153" s="346">
        <f t="shared" si="27"/>
        <v>0</v>
      </c>
      <c r="F153" s="346">
        <f t="shared" si="27"/>
        <v>1.8216595318335003</v>
      </c>
      <c r="G153" s="346">
        <f t="shared" si="27"/>
        <v>2.2513368793864039</v>
      </c>
      <c r="H153" s="346">
        <f t="shared" si="27"/>
        <v>4.1336000194279201</v>
      </c>
      <c r="I153" s="346">
        <f t="shared" si="27"/>
        <v>16.124395640549757</v>
      </c>
      <c r="J153" s="346">
        <f t="shared" si="27"/>
        <v>12.313449927452606</v>
      </c>
      <c r="K153" s="346">
        <f>IF(K45=0,0,K151/K45*100)</f>
        <v>0</v>
      </c>
      <c r="L153" s="346">
        <f t="shared" ref="L153:O153" si="28">IF(L45=0,0,L151/L45*100)</f>
        <v>1.7571388699964849</v>
      </c>
      <c r="M153" s="346">
        <f t="shared" si="28"/>
        <v>1.8916215468377118</v>
      </c>
      <c r="N153" s="346">
        <f t="shared" si="28"/>
        <v>4.3426372234406898</v>
      </c>
      <c r="O153" s="346">
        <f t="shared" si="28"/>
        <v>18.344115679083576</v>
      </c>
    </row>
    <row r="154" spans="1:20" ht="12.75" customHeight="1" thickTop="1" thickBot="1">
      <c r="A154" s="863"/>
      <c r="B154" s="224" t="s">
        <v>118</v>
      </c>
      <c r="C154" s="225" t="s">
        <v>209</v>
      </c>
      <c r="D154" s="451">
        <f>SUM(E154:I154)</f>
        <v>2968.8519129562369</v>
      </c>
      <c r="E154" s="442"/>
      <c r="F154" s="290">
        <v>2968.8519129562369</v>
      </c>
      <c r="G154" s="442"/>
      <c r="H154" s="442"/>
      <c r="I154" s="442"/>
      <c r="J154" s="442">
        <f>SUM(K154:O154)</f>
        <v>2863.4078948000001</v>
      </c>
      <c r="K154" s="442">
        <v>0</v>
      </c>
      <c r="L154" s="452">
        <v>2863.4078948000001</v>
      </c>
      <c r="M154" s="442">
        <v>0</v>
      </c>
      <c r="N154" s="442">
        <v>0</v>
      </c>
      <c r="O154" s="442">
        <v>0</v>
      </c>
    </row>
    <row r="155" spans="1:20" ht="12.75" customHeight="1" thickTop="1" thickBot="1">
      <c r="A155" s="863"/>
      <c r="B155" s="227" t="s">
        <v>120</v>
      </c>
      <c r="C155" s="186" t="s">
        <v>121</v>
      </c>
      <c r="D155" s="443">
        <f>SUM(E155:I155)</f>
        <v>33700</v>
      </c>
      <c r="E155" s="448">
        <f>E151</f>
        <v>0</v>
      </c>
      <c r="F155" s="448">
        <f>F151</f>
        <v>4000</v>
      </c>
      <c r="G155" s="448">
        <f>G151</f>
        <v>1900</v>
      </c>
      <c r="H155" s="448">
        <f>H151</f>
        <v>8000</v>
      </c>
      <c r="I155" s="448">
        <f>I151</f>
        <v>19800</v>
      </c>
      <c r="J155" s="448">
        <f>SUM(K155:O155)</f>
        <v>33933.136999999973</v>
      </c>
      <c r="K155" s="448">
        <f>K151</f>
        <v>0</v>
      </c>
      <c r="L155" s="448">
        <f>L151</f>
        <v>3801.0449999999837</v>
      </c>
      <c r="M155" s="448">
        <f>M151</f>
        <v>1461.9400000000005</v>
      </c>
      <c r="N155" s="448">
        <f>N151</f>
        <v>7777.5229999999574</v>
      </c>
      <c r="O155" s="448">
        <f>O151</f>
        <v>20892.62900000003</v>
      </c>
    </row>
    <row r="156" spans="1:20" ht="12.75" customHeight="1" thickTop="1" thickBot="1">
      <c r="A156" s="863"/>
      <c r="B156" s="227" t="s">
        <v>122</v>
      </c>
      <c r="C156" s="186" t="s">
        <v>167</v>
      </c>
      <c r="D156" s="444">
        <f>D157/1.18/D155</f>
        <v>1.5869849199930699</v>
      </c>
      <c r="E156" s="341">
        <v>1.5869849199930699</v>
      </c>
      <c r="F156" s="341">
        <v>1.5869849199930699</v>
      </c>
      <c r="G156" s="341">
        <v>1.5869849199930699</v>
      </c>
      <c r="H156" s="341">
        <v>1.5869849199930699</v>
      </c>
      <c r="I156" s="341">
        <v>1.5869849199930699</v>
      </c>
      <c r="J156" s="444">
        <f>J157/1.18/J155</f>
        <v>1.4533082838860434</v>
      </c>
      <c r="K156" s="341">
        <v>1.4533082838860434</v>
      </c>
      <c r="L156" s="341">
        <v>1.4533082838860434</v>
      </c>
      <c r="M156" s="341">
        <v>1.4533082838860434</v>
      </c>
      <c r="N156" s="341">
        <v>1.4533082838860434</v>
      </c>
      <c r="O156" s="341">
        <v>1.4533082838860434</v>
      </c>
    </row>
    <row r="157" spans="1:20" ht="12.75" customHeight="1" thickTop="1" thickBot="1">
      <c r="A157" s="863"/>
      <c r="B157" s="227" t="s">
        <v>124</v>
      </c>
      <c r="C157" s="186" t="s">
        <v>168</v>
      </c>
      <c r="D157" s="443">
        <f>SUM(E157:I157)</f>
        <v>63108.042328444411</v>
      </c>
      <c r="E157" s="443">
        <f>E155*E156*1.18</f>
        <v>0</v>
      </c>
      <c r="F157" s="443">
        <f>F155*F156*1.18</f>
        <v>7490.5688223672896</v>
      </c>
      <c r="G157" s="443">
        <f>G155*G156*1.18</f>
        <v>3558.0201906244629</v>
      </c>
      <c r="H157" s="443">
        <f>H155*H156*1.18</f>
        <v>14981.137644734579</v>
      </c>
      <c r="I157" s="443">
        <f>I155*I156*1.18</f>
        <v>37078.315670718082</v>
      </c>
      <c r="J157" s="443">
        <f>SUM(K157:O157)</f>
        <v>58192.064738401146</v>
      </c>
      <c r="K157" s="448">
        <f>K155*K156*1.18</f>
        <v>0</v>
      </c>
      <c r="L157" s="448">
        <f>L155*L156*1.18</f>
        <v>6518.4264193898498</v>
      </c>
      <c r="M157" s="448">
        <f>M155*M156*1.18</f>
        <v>2507.0864248023481</v>
      </c>
      <c r="N157" s="448">
        <f>N155*N156*1.18</f>
        <v>13337.703552736719</v>
      </c>
      <c r="O157" s="448">
        <f>O155*O156*1.18</f>
        <v>35828.848341472229</v>
      </c>
    </row>
    <row r="158" spans="1:20" ht="12.75" customHeight="1" thickTop="1" thickBot="1">
      <c r="A158" s="863"/>
      <c r="B158" s="229" t="s">
        <v>126</v>
      </c>
      <c r="C158" s="225" t="s">
        <v>127</v>
      </c>
      <c r="D158" s="445">
        <f>SUM(E158:I158)</f>
        <v>30100</v>
      </c>
      <c r="E158" s="451">
        <f>E160*E45</f>
        <v>0</v>
      </c>
      <c r="F158" s="451">
        <f>F160*F45/100</f>
        <v>4000</v>
      </c>
      <c r="G158" s="451">
        <f>G160*G45/100</f>
        <v>1900</v>
      </c>
      <c r="H158" s="451">
        <f>H160*H45/100</f>
        <v>8000</v>
      </c>
      <c r="I158" s="451">
        <f>I160*I45/100</f>
        <v>16200.000000000002</v>
      </c>
      <c r="J158" s="442">
        <f>SUM(K158:O158)</f>
        <v>29238.806999999942</v>
      </c>
      <c r="K158" s="453">
        <v>0</v>
      </c>
      <c r="L158" s="453">
        <v>3801.0449999999837</v>
      </c>
      <c r="M158" s="453">
        <v>1461.9400000000005</v>
      </c>
      <c r="N158" s="453">
        <v>7777.5229999999574</v>
      </c>
      <c r="O158" s="453">
        <v>16198.299000000001</v>
      </c>
    </row>
    <row r="159" spans="1:20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29">IF(D44=0,0,D158/D44*100)</f>
        <v>10.610173076245196</v>
      </c>
      <c r="E159" s="345">
        <f t="shared" si="29"/>
        <v>0</v>
      </c>
      <c r="F159" s="345">
        <f t="shared" si="29"/>
        <v>1.8216595318335003</v>
      </c>
      <c r="G159" s="345">
        <f t="shared" si="29"/>
        <v>2.2205600486185779</v>
      </c>
      <c r="H159" s="345">
        <f t="shared" si="29"/>
        <v>3.8019199695846404</v>
      </c>
      <c r="I159" s="345">
        <f t="shared" si="29"/>
        <v>13.121658836870242</v>
      </c>
      <c r="J159" s="345">
        <f t="shared" si="29"/>
        <v>10.610000069635483</v>
      </c>
      <c r="K159" s="345">
        <f>IF(K44=0,0,K158/K44*100)</f>
        <v>0</v>
      </c>
      <c r="L159" s="345">
        <f t="shared" si="29"/>
        <v>1.7571388699964849</v>
      </c>
      <c r="M159" s="345">
        <f t="shared" si="29"/>
        <v>1.8493814998260063</v>
      </c>
      <c r="N159" s="345">
        <f t="shared" si="29"/>
        <v>3.9267611604255319</v>
      </c>
      <c r="O159" s="345">
        <f t="shared" si="29"/>
        <v>14.083776071154949</v>
      </c>
      <c r="P159" s="25"/>
    </row>
    <row r="160" spans="1:20" ht="12.75" customHeight="1" thickTop="1" thickBot="1">
      <c r="A160" s="863"/>
      <c r="B160" s="230" t="s">
        <v>130</v>
      </c>
      <c r="C160" s="225" t="s">
        <v>131</v>
      </c>
      <c r="D160" s="345">
        <f>IF(D45=0,0,D158/D45*100)</f>
        <v>10.610173076245196</v>
      </c>
      <c r="E160" s="317">
        <v>0</v>
      </c>
      <c r="F160" s="454">
        <v>1.8216595318335003</v>
      </c>
      <c r="G160" s="454">
        <v>2.2513368793864039</v>
      </c>
      <c r="H160" s="454">
        <v>4.1336000194279201</v>
      </c>
      <c r="I160" s="454">
        <v>13.192687342267986</v>
      </c>
      <c r="J160" s="345">
        <f>IF(J45=0,0,J158/J45*100)</f>
        <v>10.610000069635483</v>
      </c>
      <c r="K160" s="345">
        <f>IF(K45=0,0,K158/K45*100)</f>
        <v>0</v>
      </c>
      <c r="L160" s="345">
        <f t="shared" ref="L160:O160" si="30">IF(L45=0,0,L158/L45*100)</f>
        <v>1.7571388699964849</v>
      </c>
      <c r="M160" s="345">
        <f t="shared" si="30"/>
        <v>1.8916215468377118</v>
      </c>
      <c r="N160" s="345">
        <f t="shared" si="30"/>
        <v>4.3426372234406898</v>
      </c>
      <c r="O160" s="345">
        <f t="shared" si="30"/>
        <v>14.222406890984537</v>
      </c>
      <c r="P160" s="25"/>
    </row>
    <row r="161" spans="1:15" ht="12.75" customHeight="1" thickTop="1" thickBot="1">
      <c r="A161" s="863"/>
      <c r="B161" s="231" t="s">
        <v>132</v>
      </c>
      <c r="C161" s="186" t="s">
        <v>133</v>
      </c>
      <c r="D161" s="443">
        <f>SUM(E161:I161)</f>
        <v>3599.9999999999982</v>
      </c>
      <c r="E161" s="251">
        <f>E151-E158</f>
        <v>0</v>
      </c>
      <c r="F161" s="448">
        <f>F151-F158</f>
        <v>0</v>
      </c>
      <c r="G161" s="448">
        <f>G151-G158</f>
        <v>0</v>
      </c>
      <c r="H161" s="448">
        <f>H151-H158</f>
        <v>0</v>
      </c>
      <c r="I161" s="448">
        <f>I151-I158</f>
        <v>3599.9999999999982</v>
      </c>
      <c r="J161" s="448">
        <f>SUM(K161:O161)</f>
        <v>4694.330000000029</v>
      </c>
      <c r="K161" s="448">
        <f>K151-K158</f>
        <v>0</v>
      </c>
      <c r="L161" s="448">
        <f>L151-L158</f>
        <v>0</v>
      </c>
      <c r="M161" s="448">
        <f>M151-M158</f>
        <v>0</v>
      </c>
      <c r="N161" s="448">
        <f>N151-N158</f>
        <v>0</v>
      </c>
      <c r="O161" s="448">
        <f>O151-O158</f>
        <v>4694.330000000029</v>
      </c>
    </row>
    <row r="162" spans="1:15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1.2689907998167007</v>
      </c>
      <c r="E162" s="347">
        <f t="shared" ref="E162:I162" si="31">IF(E44=0,0,E161/E44*100)</f>
        <v>0</v>
      </c>
      <c r="F162" s="347">
        <f t="shared" si="31"/>
        <v>0</v>
      </c>
      <c r="G162" s="347">
        <f t="shared" si="31"/>
        <v>0</v>
      </c>
      <c r="H162" s="347">
        <f t="shared" si="31"/>
        <v>0</v>
      </c>
      <c r="I162" s="347">
        <f t="shared" si="31"/>
        <v>2.9159241859711633</v>
      </c>
      <c r="J162" s="347">
        <f>IF(J44=0,0,J161/J44*100)</f>
        <v>1.7034498578171242</v>
      </c>
      <c r="K162" s="347">
        <f>IF(K44=0,0,K161/K44*100)</f>
        <v>0</v>
      </c>
      <c r="L162" s="347">
        <f t="shared" ref="L162:O162" si="32">IF(L44=0,0,L161/L44*100)</f>
        <v>0</v>
      </c>
      <c r="M162" s="347">
        <f t="shared" si="32"/>
        <v>0</v>
      </c>
      <c r="N162" s="347">
        <f t="shared" si="32"/>
        <v>0</v>
      </c>
      <c r="O162" s="347">
        <f t="shared" si="32"/>
        <v>4.081533037765583</v>
      </c>
    </row>
    <row r="163" spans="1:15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1.2689907998167007</v>
      </c>
      <c r="E163" s="347">
        <f t="shared" ref="E163:O163" si="33">IF(E45=0,0,E161/E45*100)</f>
        <v>0</v>
      </c>
      <c r="F163" s="347">
        <f t="shared" si="33"/>
        <v>0</v>
      </c>
      <c r="G163" s="347">
        <f t="shared" si="33"/>
        <v>0</v>
      </c>
      <c r="H163" s="347">
        <f t="shared" si="33"/>
        <v>0</v>
      </c>
      <c r="I163" s="347">
        <f t="shared" si="33"/>
        <v>2.9317082982817726</v>
      </c>
      <c r="J163" s="347">
        <f t="shared" si="33"/>
        <v>1.7034498578171242</v>
      </c>
      <c r="K163" s="347">
        <f t="shared" si="33"/>
        <v>0</v>
      </c>
      <c r="L163" s="347">
        <f t="shared" si="33"/>
        <v>0</v>
      </c>
      <c r="M163" s="347">
        <f t="shared" si="33"/>
        <v>0</v>
      </c>
      <c r="N163" s="347">
        <f t="shared" si="33"/>
        <v>0</v>
      </c>
      <c r="O163" s="347">
        <f t="shared" si="33"/>
        <v>4.1217087880990375</v>
      </c>
    </row>
    <row r="164" spans="1:15">
      <c r="A164" s="94" t="s">
        <v>210</v>
      </c>
      <c r="D164" s="95"/>
      <c r="E164" s="95"/>
      <c r="F164" s="601"/>
      <c r="G164" s="601"/>
      <c r="H164" s="601"/>
      <c r="I164" s="601"/>
      <c r="J164" s="348"/>
      <c r="K164" s="348"/>
      <c r="L164" s="348"/>
      <c r="M164" s="348"/>
      <c r="N164" s="348"/>
      <c r="O164" s="348"/>
    </row>
    <row r="165" spans="1:15" ht="12.75" thickBot="1">
      <c r="D165" s="95"/>
      <c r="E165" s="93"/>
      <c r="F165" s="342"/>
      <c r="G165" s="342"/>
      <c r="H165" s="342"/>
      <c r="I165" s="342"/>
      <c r="J165" s="348"/>
      <c r="K165" s="348"/>
      <c r="L165" s="342"/>
      <c r="M165" s="342"/>
      <c r="N165" s="342"/>
      <c r="O165" s="342"/>
    </row>
    <row r="166" spans="1:15" ht="12.75" customHeight="1" thickBot="1">
      <c r="B166" s="854" t="s">
        <v>138</v>
      </c>
      <c r="C166" s="855" t="s">
        <v>139</v>
      </c>
      <c r="D166" s="842" t="s">
        <v>140</v>
      </c>
      <c r="E166" s="843"/>
      <c r="F166" s="843"/>
      <c r="G166" s="843"/>
      <c r="H166" s="843"/>
      <c r="I166" s="844"/>
      <c r="J166" s="842" t="s">
        <v>140</v>
      </c>
      <c r="K166" s="843"/>
      <c r="L166" s="843"/>
      <c r="M166" s="843"/>
      <c r="N166" s="843"/>
      <c r="O166" s="844"/>
    </row>
    <row r="167" spans="1:15">
      <c r="B167" s="854"/>
      <c r="C167" s="855"/>
      <c r="D167" s="96" t="s">
        <v>141</v>
      </c>
      <c r="E167" s="97"/>
      <c r="F167" s="97" t="s">
        <v>5</v>
      </c>
      <c r="G167" s="98" t="s">
        <v>74</v>
      </c>
      <c r="H167" s="98" t="s">
        <v>76</v>
      </c>
      <c r="I167" s="99" t="s">
        <v>8</v>
      </c>
      <c r="J167" s="96" t="s">
        <v>141</v>
      </c>
      <c r="K167" s="97"/>
      <c r="L167" s="97" t="s">
        <v>5</v>
      </c>
      <c r="M167" s="98" t="s">
        <v>74</v>
      </c>
      <c r="N167" s="98" t="s">
        <v>76</v>
      </c>
      <c r="O167" s="99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>
        <f>D174+D175+D176</f>
        <v>283690</v>
      </c>
      <c r="E169" s="35"/>
      <c r="F169" s="36">
        <f>F170+F174+F175+F176</f>
        <v>219580</v>
      </c>
      <c r="G169" s="36">
        <f>G170+G174+G175+G176</f>
        <v>84544</v>
      </c>
      <c r="H169" s="36">
        <f>H170+H174+H175+H176</f>
        <v>194360</v>
      </c>
      <c r="I169" s="37">
        <f>I170+I174+I175+I176</f>
        <v>123460</v>
      </c>
      <c r="J169" s="34">
        <f>J174+J175+J176</f>
        <v>275577.821</v>
      </c>
      <c r="K169" s="35"/>
      <c r="L169" s="36">
        <f>L170+L174+L175+L176</f>
        <v>216320.125</v>
      </c>
      <c r="M169" s="36">
        <f>M170+M174+M175+M176</f>
        <v>77285.015199999994</v>
      </c>
      <c r="N169" s="36">
        <f>N170+N174+N175+N176</f>
        <v>179358.136</v>
      </c>
      <c r="O169" s="37">
        <f>O170+O174+O175+O176</f>
        <v>115013.89200000004</v>
      </c>
    </row>
    <row r="170" spans="1:15" ht="12.75">
      <c r="B170" s="38" t="s">
        <v>12</v>
      </c>
      <c r="C170" s="39" t="s">
        <v>143</v>
      </c>
      <c r="D170" s="675">
        <f t="shared" ref="D170:D177" si="34">SUM(F170:I170)</f>
        <v>338254</v>
      </c>
      <c r="E170" s="676"/>
      <c r="F170" s="676"/>
      <c r="G170" s="677">
        <f>SUM(G171:G173)</f>
        <v>43944</v>
      </c>
      <c r="H170" s="677">
        <f>SUM(H171:H173)</f>
        <v>170860</v>
      </c>
      <c r="I170" s="678">
        <f>SUM(I171:I173)</f>
        <v>123450</v>
      </c>
      <c r="J170" s="675">
        <f t="shared" ref="J170:J177" si="35">SUM(L170:O170)</f>
        <v>312399.34720000008</v>
      </c>
      <c r="K170" s="676"/>
      <c r="L170" s="676"/>
      <c r="M170" s="677">
        <f>SUM(M171:M173)</f>
        <v>41001.190199999997</v>
      </c>
      <c r="N170" s="677">
        <f>SUM(N171:N173)</f>
        <v>156387.092</v>
      </c>
      <c r="O170" s="678">
        <f>SUM(O171:O173)</f>
        <v>115011.06500000003</v>
      </c>
    </row>
    <row r="171" spans="1:15" ht="12.75">
      <c r="B171" s="40" t="s">
        <v>144</v>
      </c>
      <c r="C171" s="41" t="s">
        <v>145</v>
      </c>
      <c r="D171" s="42">
        <f t="shared" si="34"/>
        <v>135830</v>
      </c>
      <c r="E171" s="43"/>
      <c r="F171" s="44"/>
      <c r="G171" s="45">
        <f>G31-G49-G61-G73-G85-G97-G78-G109-G121-G54-G66-G90-G102-G114-G126</f>
        <v>43944</v>
      </c>
      <c r="H171" s="45">
        <f>H31-H49-H61-H73-H85-H97-H78-H54-H109-H66-H90-H102-H114-H121-H126</f>
        <v>91886</v>
      </c>
      <c r="I171" s="46"/>
      <c r="J171" s="42">
        <f t="shared" si="35"/>
        <v>123237.145</v>
      </c>
      <c r="K171" s="43"/>
      <c r="L171" s="44"/>
      <c r="M171" s="45">
        <f>M31-M49-M61-M73-M85-M97-M78-M109-M121-M54-M66-M90-M102-M114-M126</f>
        <v>41001.190199999997</v>
      </c>
      <c r="N171" s="45">
        <f>N31-N49-N61-N73-N85-N97-N78-N54-N109-N66-N90-N102-N114-N121-N126</f>
        <v>82235.954800000007</v>
      </c>
      <c r="O171" s="46"/>
    </row>
    <row r="172" spans="1:15" ht="12.75">
      <c r="B172" s="47" t="s">
        <v>146</v>
      </c>
      <c r="C172" s="48" t="s">
        <v>6</v>
      </c>
      <c r="D172" s="42">
        <f t="shared" si="34"/>
        <v>78974</v>
      </c>
      <c r="E172" s="43"/>
      <c r="F172" s="44"/>
      <c r="G172" s="49"/>
      <c r="H172" s="45">
        <f>H32-H50-H62-H74-H86-H98-H110-H55-H67-H79-H91-H103-H115-H122-H127</f>
        <v>78974</v>
      </c>
      <c r="I172" s="50">
        <f>I32-I50-I55-I62-I67-I74-I79-I86-I91-I98-I103-I110-I115-I122-I127</f>
        <v>0</v>
      </c>
      <c r="J172" s="42">
        <f t="shared" si="35"/>
        <v>74151.137199999997</v>
      </c>
      <c r="K172" s="43"/>
      <c r="L172" s="44"/>
      <c r="M172" s="49"/>
      <c r="N172" s="45">
        <f>N32-N50-N62-N74-N86-N98-N110-N55-N67-N79-N91-N103-N115-N122-N127</f>
        <v>74151.137199999997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>
        <f t="shared" si="34"/>
        <v>123450</v>
      </c>
      <c r="E173" s="54"/>
      <c r="F173" s="55"/>
      <c r="G173" s="56"/>
      <c r="H173" s="56"/>
      <c r="I173" s="57">
        <f>I33-I51-I87-I75-I99-I111-I56-I63-I68-I80-I92-I104-I116-I123-I128</f>
        <v>123450</v>
      </c>
      <c r="J173" s="53">
        <f t="shared" si="35"/>
        <v>115011.06500000003</v>
      </c>
      <c r="K173" s="54"/>
      <c r="L173" s="55"/>
      <c r="M173" s="56"/>
      <c r="N173" s="56"/>
      <c r="O173" s="57">
        <f>O33-O51-O87-O75-O99-O111-O56-O63-O68-O80-O92-O104-O116-O123-O128</f>
        <v>115011.06500000003</v>
      </c>
    </row>
    <row r="174" spans="1:15" ht="12.75">
      <c r="B174" s="58" t="s">
        <v>14</v>
      </c>
      <c r="C174" s="39" t="s">
        <v>148</v>
      </c>
      <c r="D174" s="110">
        <f t="shared" si="34"/>
        <v>169990</v>
      </c>
      <c r="E174" s="111"/>
      <c r="F174" s="111">
        <f>F28+E28</f>
        <v>138260</v>
      </c>
      <c r="G174" s="112">
        <f>G28</f>
        <v>29060</v>
      </c>
      <c r="H174" s="112">
        <f>H28</f>
        <v>2670</v>
      </c>
      <c r="I174" s="113">
        <f>I28</f>
        <v>0</v>
      </c>
      <c r="J174" s="110">
        <f t="shared" si="35"/>
        <v>203206.64499999999</v>
      </c>
      <c r="K174" s="111"/>
      <c r="L174" s="111">
        <f>L28+K28</f>
        <v>176288.122</v>
      </c>
      <c r="M174" s="112">
        <f>M28</f>
        <v>24311.063999999998</v>
      </c>
      <c r="N174" s="112">
        <f>N28</f>
        <v>2607.4589999999998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>
        <f t="shared" si="34"/>
        <v>112400</v>
      </c>
      <c r="E175" s="124"/>
      <c r="F175" s="125">
        <f>F23+F24+F25+E23+E24+E25</f>
        <v>81320</v>
      </c>
      <c r="G175" s="125">
        <f>G23+G24+G25</f>
        <v>10240</v>
      </c>
      <c r="H175" s="125">
        <f>H23+H24+H25</f>
        <v>20830</v>
      </c>
      <c r="I175" s="126">
        <f>I23+I24+I25</f>
        <v>10</v>
      </c>
      <c r="J175" s="123">
        <f t="shared" si="35"/>
        <v>72371.176000000007</v>
      </c>
      <c r="K175" s="124"/>
      <c r="L175" s="125">
        <f>L23+L24+L25+K23+K24+K25</f>
        <v>40032.003000000004</v>
      </c>
      <c r="M175" s="125">
        <f>M23+M24+M25</f>
        <v>11972.761</v>
      </c>
      <c r="N175" s="125">
        <f>N23+N24+N25</f>
        <v>20363.584999999999</v>
      </c>
      <c r="O175" s="126">
        <f>O23+O24+O25</f>
        <v>2.827</v>
      </c>
    </row>
    <row r="176" spans="1:15" ht="13.5" thickBot="1">
      <c r="B176" s="61" t="s">
        <v>20</v>
      </c>
      <c r="C176" s="62" t="s">
        <v>150</v>
      </c>
      <c r="D176" s="129">
        <f t="shared" si="34"/>
        <v>1300</v>
      </c>
      <c r="E176" s="130"/>
      <c r="F176" s="131">
        <f>F29+E29</f>
        <v>0</v>
      </c>
      <c r="G176" s="131">
        <f>G29</f>
        <v>1300</v>
      </c>
      <c r="H176" s="131">
        <f>H29</f>
        <v>0</v>
      </c>
      <c r="I176" s="132">
        <f>I29</f>
        <v>0</v>
      </c>
      <c r="J176" s="129">
        <f t="shared" si="35"/>
        <v>0</v>
      </c>
      <c r="K176" s="130"/>
      <c r="L176" s="131">
        <f>L29+K29</f>
        <v>0</v>
      </c>
      <c r="M176" s="131">
        <f>M29</f>
        <v>0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34"/>
        <v>33699.999999999985</v>
      </c>
      <c r="E177" s="136"/>
      <c r="F177" s="136">
        <f>F169-F180-G171-H171</f>
        <v>4000</v>
      </c>
      <c r="G177" s="136">
        <f>G169-G180-H172-I172</f>
        <v>1900</v>
      </c>
      <c r="H177" s="136">
        <f>H169-H180-I173</f>
        <v>8000</v>
      </c>
      <c r="I177" s="137">
        <f>I169-I180</f>
        <v>19799.999999999985</v>
      </c>
      <c r="J177" s="135">
        <f t="shared" si="35"/>
        <v>33933.136999999988</v>
      </c>
      <c r="K177" s="136"/>
      <c r="L177" s="136">
        <f>L169-L180-M171-N171</f>
        <v>3801.0449999999983</v>
      </c>
      <c r="M177" s="136">
        <f>M169-M180-N172-O172</f>
        <v>1461.9400000000023</v>
      </c>
      <c r="N177" s="136">
        <f>N169-N180-O173</f>
        <v>7777.5229999999574</v>
      </c>
      <c r="O177" s="137">
        <f>O169-O180</f>
        <v>20892.62900000003</v>
      </c>
    </row>
    <row r="178" spans="1:15" ht="13.5" thickBot="1">
      <c r="B178" s="64"/>
      <c r="C178" s="65" t="s">
        <v>152</v>
      </c>
      <c r="D178" s="441">
        <f>IF(D169=0,0,D177/D169*100)</f>
        <v>11.879163876061893</v>
      </c>
      <c r="E178" s="140"/>
      <c r="F178" s="441">
        <f t="shared" ref="F178:I178" si="36">IF(F169=0,0,F177/F169*100)</f>
        <v>1.8216595318335003</v>
      </c>
      <c r="G178" s="441">
        <f t="shared" si="36"/>
        <v>2.247350492051476</v>
      </c>
      <c r="H178" s="441">
        <f t="shared" si="36"/>
        <v>4.1160732661041362</v>
      </c>
      <c r="I178" s="441">
        <f t="shared" si="36"/>
        <v>16.037583022841396</v>
      </c>
      <c r="J178" s="441">
        <f>IF(J169=0,0,J177/J169*100)</f>
        <v>12.313449927452611</v>
      </c>
      <c r="K178" s="140"/>
      <c r="L178" s="441">
        <f t="shared" ref="L178:O178" si="37">IF(L169=0,0,L177/L169*100)</f>
        <v>1.7571388699964916</v>
      </c>
      <c r="M178" s="441">
        <f t="shared" si="37"/>
        <v>1.891621546837714</v>
      </c>
      <c r="N178" s="441">
        <f t="shared" si="37"/>
        <v>4.3363090035681218</v>
      </c>
      <c r="O178" s="441">
        <f t="shared" si="37"/>
        <v>18.165309108920532</v>
      </c>
    </row>
    <row r="179" spans="1:15" ht="26.25" thickBot="1">
      <c r="B179" s="66" t="s">
        <v>38</v>
      </c>
      <c r="C179" s="67" t="s">
        <v>153</v>
      </c>
      <c r="D179" s="143">
        <f t="shared" ref="D179:D184" si="38">SUM(F179:I179)</f>
        <v>0</v>
      </c>
      <c r="E179" s="144"/>
      <c r="F179" s="144"/>
      <c r="G179" s="145"/>
      <c r="H179" s="145"/>
      <c r="I179" s="146"/>
      <c r="J179" s="143">
        <f t="shared" ref="J179:J184" si="39">SUM(L179:O179)</f>
        <v>0</v>
      </c>
      <c r="K179" s="144"/>
      <c r="L179" s="144"/>
      <c r="M179" s="145"/>
      <c r="N179" s="145"/>
      <c r="O179" s="146"/>
    </row>
    <row r="180" spans="1:15" s="83" customFormat="1" ht="13.5" thickBot="1">
      <c r="B180" s="147" t="s">
        <v>52</v>
      </c>
      <c r="C180" s="148" t="s">
        <v>154</v>
      </c>
      <c r="D180" s="143">
        <f t="shared" si="38"/>
        <v>249990</v>
      </c>
      <c r="E180" s="144"/>
      <c r="F180" s="682">
        <f>F143+E143</f>
        <v>79750</v>
      </c>
      <c r="G180" s="682">
        <f>G143+G194</f>
        <v>3670</v>
      </c>
      <c r="H180" s="682">
        <f>H143+H194</f>
        <v>62910</v>
      </c>
      <c r="I180" s="683">
        <f>I143+I194</f>
        <v>103660.00000000001</v>
      </c>
      <c r="J180" s="143">
        <f t="shared" si="39"/>
        <v>241644.68400000001</v>
      </c>
      <c r="K180" s="144"/>
      <c r="L180" s="682">
        <f>L143+K143</f>
        <v>89281.934999999998</v>
      </c>
      <c r="M180" s="682">
        <f>M143+M194</f>
        <v>1671.9380000000001</v>
      </c>
      <c r="N180" s="682">
        <f>N143+N194</f>
        <v>56569.548000000003</v>
      </c>
      <c r="O180" s="683">
        <f>O143+O194</f>
        <v>94121.263000000006</v>
      </c>
    </row>
    <row r="181" spans="1:15" ht="12.75">
      <c r="B181" s="70" t="s">
        <v>54</v>
      </c>
      <c r="C181" s="71" t="s">
        <v>155</v>
      </c>
      <c r="D181" s="151">
        <f t="shared" si="38"/>
        <v>0</v>
      </c>
      <c r="E181" s="152"/>
      <c r="F181" s="152"/>
      <c r="G181" s="153"/>
      <c r="H181" s="153"/>
      <c r="I181" s="154"/>
      <c r="J181" s="151">
        <f t="shared" si="39"/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8"/>
        <v>0</v>
      </c>
      <c r="E182" s="158"/>
      <c r="F182" s="159"/>
      <c r="G182" s="159"/>
      <c r="H182" s="159"/>
      <c r="I182" s="160"/>
      <c r="J182" s="157">
        <f t="shared" si="39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8"/>
        <v>0</v>
      </c>
      <c r="E183" s="164"/>
      <c r="F183" s="164"/>
      <c r="G183" s="165"/>
      <c r="H183" s="165"/>
      <c r="I183" s="166"/>
      <c r="J183" s="163">
        <f t="shared" si="39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8"/>
        <v>0</v>
      </c>
      <c r="E184" s="111"/>
      <c r="F184" s="111"/>
      <c r="G184" s="112"/>
      <c r="H184" s="112"/>
      <c r="I184" s="113"/>
      <c r="J184" s="110">
        <f t="shared" si="39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9" spans="1:15" ht="12.75" customHeight="1">
      <c r="A189" s="832" t="s">
        <v>211</v>
      </c>
      <c r="B189" s="832"/>
      <c r="C189" s="832"/>
      <c r="D189" s="832"/>
      <c r="E189" s="832"/>
      <c r="F189" s="832"/>
      <c r="G189" s="832"/>
      <c r="H189" s="832"/>
      <c r="I189" s="832"/>
      <c r="J189" s="832"/>
      <c r="K189" s="832"/>
      <c r="L189" s="832"/>
      <c r="M189" s="832"/>
      <c r="N189" s="832"/>
      <c r="O189" s="832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</row>
    <row r="191" spans="1:15" ht="12.75">
      <c r="A191" s="171"/>
      <c r="B191" s="171"/>
      <c r="C191" s="171"/>
      <c r="D191" s="171"/>
      <c r="E191" s="171"/>
      <c r="F191" s="171"/>
      <c r="G191" s="171"/>
      <c r="H191" s="171"/>
      <c r="I191" s="171"/>
      <c r="J191" s="239"/>
      <c r="K191" s="171"/>
      <c r="L191" s="171"/>
      <c r="M191" s="171"/>
      <c r="N191" s="171"/>
      <c r="O191" s="171"/>
    </row>
    <row r="194" spans="1:15">
      <c r="A194" s="483"/>
      <c r="B194" s="484"/>
      <c r="C194" s="483" t="s">
        <v>193</v>
      </c>
      <c r="D194" s="523"/>
      <c r="E194" s="523"/>
      <c r="F194" s="523"/>
      <c r="G194" s="523">
        <v>149.69999999999999</v>
      </c>
      <c r="H194" s="523">
        <v>824.1</v>
      </c>
      <c r="I194" s="523">
        <v>664.7</v>
      </c>
      <c r="J194" s="523"/>
      <c r="K194" s="523"/>
      <c r="L194" s="523"/>
      <c r="M194" s="523"/>
      <c r="N194" s="523">
        <v>261.36599999999999</v>
      </c>
      <c r="O194" s="523">
        <v>1121.0809999999999</v>
      </c>
    </row>
    <row r="195" spans="1:15">
      <c r="A195" s="483"/>
      <c r="B195" s="484"/>
      <c r="C195" s="483" t="s">
        <v>196</v>
      </c>
      <c r="D195" s="523"/>
      <c r="E195" s="523"/>
      <c r="F195" s="527">
        <v>9604.8074973885323</v>
      </c>
      <c r="G195" s="523"/>
      <c r="H195" s="523"/>
      <c r="I195" s="523"/>
      <c r="J195" s="523"/>
      <c r="K195" s="523"/>
      <c r="L195" s="527">
        <v>8229.6103399999993</v>
      </c>
      <c r="M195" s="523"/>
      <c r="N195" s="523"/>
      <c r="O195" s="523"/>
    </row>
  </sheetData>
  <mergeCells count="25">
    <mergeCell ref="A1:O1"/>
    <mergeCell ref="A3:A5"/>
    <mergeCell ref="B3:B5"/>
    <mergeCell ref="C3:C5"/>
    <mergeCell ref="D3:I3"/>
    <mergeCell ref="J3:O3"/>
    <mergeCell ref="D4:D5"/>
    <mergeCell ref="E4:F4"/>
    <mergeCell ref="N4:N5"/>
    <mergeCell ref="O4:O5"/>
    <mergeCell ref="K4:L4"/>
    <mergeCell ref="M4:M5"/>
    <mergeCell ref="A6:A29"/>
    <mergeCell ref="A30:A43"/>
    <mergeCell ref="I4:I5"/>
    <mergeCell ref="J4:J5"/>
    <mergeCell ref="G4:G5"/>
    <mergeCell ref="H4:H5"/>
    <mergeCell ref="A189:O189"/>
    <mergeCell ref="D166:I166"/>
    <mergeCell ref="J166:O166"/>
    <mergeCell ref="A46:A150"/>
    <mergeCell ref="A151:A163"/>
    <mergeCell ref="B166:B167"/>
    <mergeCell ref="C166:C167"/>
  </mergeCells>
  <phoneticPr fontId="0" type="noConversion"/>
  <pageMargins left="0.6692913385826772" right="0.27559055118110237" top="0.59055118110236227" bottom="0.55118110236220474" header="0.51181102362204722" footer="0.51181102362204722"/>
  <pageSetup paperSize="9" scale="62" firstPageNumber="0" orientation="landscape" horizontalDpi="300" verticalDpi="300" r:id="rId1"/>
  <headerFooter alignWithMargins="0"/>
  <rowBreaks count="2" manualBreakCount="2">
    <brk id="58" max="14" man="1"/>
    <brk id="116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98"/>
  <sheetViews>
    <sheetView view="pageBreakPreview" zoomScale="90" zoomScaleSheetLayoutView="90" workbookViewId="0">
      <pane xSplit="3" ySplit="5" topLeftCell="D40" activePane="bottomRight" state="frozen"/>
      <selection pane="topRight" activeCell="D1" sqref="D1"/>
      <selection pane="bottomLeft" activeCell="A63" sqref="A63"/>
      <selection pane="bottomRight" activeCell="D45" sqref="D45:O46"/>
    </sheetView>
  </sheetViews>
  <sheetFormatPr defaultRowHeight="12"/>
  <cols>
    <col min="1" max="1" width="3" style="1" customWidth="1"/>
    <col min="2" max="2" width="6.140625" style="2" customWidth="1"/>
    <col min="3" max="3" width="61.140625" style="1" customWidth="1"/>
    <col min="4" max="4" width="11.28515625" style="1" customWidth="1"/>
    <col min="5" max="5" width="10.5703125" style="1" customWidth="1"/>
    <col min="6" max="6" width="11.85546875" style="1" customWidth="1"/>
    <col min="7" max="7" width="11.140625" style="1" customWidth="1"/>
    <col min="8" max="8" width="11.28515625" style="1" customWidth="1"/>
    <col min="9" max="9" width="11.85546875" style="1" customWidth="1"/>
    <col min="10" max="10" width="13.42578125" style="1" customWidth="1"/>
    <col min="11" max="11" width="11.140625" style="1" customWidth="1"/>
    <col min="12" max="12" width="11.28515625" style="1" customWidth="1"/>
    <col min="13" max="13" width="11.5703125" style="1" customWidth="1"/>
    <col min="14" max="14" width="11.42578125" style="1" customWidth="1"/>
    <col min="15" max="15" width="11.5703125" style="1" customWidth="1"/>
    <col min="16" max="16" width="9.140625" style="1"/>
    <col min="17" max="17" width="13.42578125" style="1" customWidth="1"/>
    <col min="18" max="16384" width="9.140625" style="1"/>
  </cols>
  <sheetData>
    <row r="1" spans="1:15" ht="15.75">
      <c r="A1" s="817" t="s">
        <v>220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6.75" customHeight="1" thickBot="1"/>
    <row r="3" spans="1:15" s="3" customFormat="1" ht="12" customHeight="1" thickBot="1">
      <c r="A3" s="856"/>
      <c r="B3" s="857" t="s">
        <v>0</v>
      </c>
      <c r="C3" s="858" t="s">
        <v>1</v>
      </c>
      <c r="D3" s="824" t="s">
        <v>2</v>
      </c>
      <c r="E3" s="825"/>
      <c r="F3" s="825"/>
      <c r="G3" s="825"/>
      <c r="H3" s="825"/>
      <c r="I3" s="826"/>
      <c r="J3" s="827" t="s">
        <v>3</v>
      </c>
      <c r="K3" s="828"/>
      <c r="L3" s="828"/>
      <c r="M3" s="828"/>
      <c r="N3" s="828"/>
      <c r="O3" s="829"/>
    </row>
    <row r="4" spans="1:15" s="3" customFormat="1" ht="12.75" customHeight="1" thickTop="1" thickBot="1">
      <c r="A4" s="856"/>
      <c r="B4" s="857"/>
      <c r="C4" s="858"/>
      <c r="D4" s="830" t="s">
        <v>4</v>
      </c>
      <c r="E4" s="835" t="s">
        <v>5</v>
      </c>
      <c r="F4" s="835"/>
      <c r="G4" s="835" t="s">
        <v>6</v>
      </c>
      <c r="H4" s="835" t="s">
        <v>7</v>
      </c>
      <c r="I4" s="820" t="s">
        <v>8</v>
      </c>
      <c r="J4" s="831" t="s">
        <v>4</v>
      </c>
      <c r="K4" s="833" t="s">
        <v>5</v>
      </c>
      <c r="L4" s="834"/>
      <c r="M4" s="818" t="s">
        <v>6</v>
      </c>
      <c r="N4" s="818" t="s">
        <v>7</v>
      </c>
      <c r="O4" s="820" t="s">
        <v>8</v>
      </c>
    </row>
    <row r="5" spans="1:15" s="6" customFormat="1" ht="13.5" thickTop="1" thickBot="1">
      <c r="A5" s="856"/>
      <c r="B5" s="857"/>
      <c r="C5" s="858"/>
      <c r="D5" s="831"/>
      <c r="E5" s="86">
        <v>220</v>
      </c>
      <c r="F5" s="86">
        <v>110</v>
      </c>
      <c r="G5" s="818"/>
      <c r="H5" s="818"/>
      <c r="I5" s="846"/>
      <c r="J5" s="845"/>
      <c r="K5" s="87">
        <v>220</v>
      </c>
      <c r="L5" s="242">
        <v>110</v>
      </c>
      <c r="M5" s="819"/>
      <c r="N5" s="819"/>
      <c r="O5" s="821"/>
    </row>
    <row r="6" spans="1:15" ht="13.5" thickTop="1" thickBot="1">
      <c r="A6" s="862" t="s">
        <v>9</v>
      </c>
      <c r="B6" s="179" t="s">
        <v>10</v>
      </c>
      <c r="C6" s="179" t="s">
        <v>11</v>
      </c>
      <c r="D6" s="352">
        <f t="shared" ref="D6:O6" si="0">SUM(D7:D9,D12,D14)</f>
        <v>2289350</v>
      </c>
      <c r="E6" s="353">
        <f t="shared" si="0"/>
        <v>0</v>
      </c>
      <c r="F6" s="353">
        <f t="shared" si="0"/>
        <v>1853010</v>
      </c>
      <c r="G6" s="353">
        <f t="shared" si="0"/>
        <v>263510</v>
      </c>
      <c r="H6" s="353">
        <f t="shared" si="0"/>
        <v>172780</v>
      </c>
      <c r="I6" s="353">
        <f t="shared" si="0"/>
        <v>50</v>
      </c>
      <c r="J6" s="244">
        <f t="shared" si="0"/>
        <v>2171086.429</v>
      </c>
      <c r="K6" s="245">
        <f t="shared" si="0"/>
        <v>0</v>
      </c>
      <c r="L6" s="245">
        <f t="shared" si="0"/>
        <v>1805519.625</v>
      </c>
      <c r="M6" s="245">
        <f t="shared" si="0"/>
        <v>204146.30199999997</v>
      </c>
      <c r="N6" s="245">
        <f t="shared" si="0"/>
        <v>161386.166</v>
      </c>
      <c r="O6" s="245">
        <f t="shared" si="0"/>
        <v>34.335999999999999</v>
      </c>
    </row>
    <row r="7" spans="1:15" ht="13.5" thickTop="1" thickBot="1">
      <c r="A7" s="862"/>
      <c r="B7" s="182" t="s">
        <v>12</v>
      </c>
      <c r="C7" s="182" t="s">
        <v>13</v>
      </c>
      <c r="D7" s="354">
        <f>SUM(E7:I7)</f>
        <v>0</v>
      </c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247">
        <f>SUM(K7:O7)</f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</row>
    <row r="8" spans="1:15" ht="13.5" thickTop="1" thickBot="1">
      <c r="A8" s="862"/>
      <c r="B8" s="182" t="s">
        <v>14</v>
      </c>
      <c r="C8" s="182" t="s">
        <v>15</v>
      </c>
      <c r="D8" s="354">
        <f>SUM(E8:I8)</f>
        <v>1136655</v>
      </c>
      <c r="E8" s="356">
        <f>'4 месяца'!E8+май!E8</f>
        <v>0</v>
      </c>
      <c r="F8" s="356">
        <f>'4 месяца'!F8+май!F8</f>
        <v>903845</v>
      </c>
      <c r="G8" s="356">
        <f>'4 месяца'!G8+май!G8</f>
        <v>75580</v>
      </c>
      <c r="H8" s="356">
        <f>'4 месяца'!H8+май!H8</f>
        <v>157180</v>
      </c>
      <c r="I8" s="356">
        <f>'4 месяца'!I8+май!I8</f>
        <v>50</v>
      </c>
      <c r="J8" s="247">
        <f>SUM(K8:O8)</f>
        <v>922579.5070000001</v>
      </c>
      <c r="K8" s="356">
        <f>'4 месяца'!K8+май!K8</f>
        <v>0</v>
      </c>
      <c r="L8" s="356">
        <f>'4 месяца'!L8+май!L8</f>
        <v>709041.12400000007</v>
      </c>
      <c r="M8" s="356">
        <f>'4 месяца'!M8+май!M8</f>
        <v>65890.941000000006</v>
      </c>
      <c r="N8" s="356">
        <f>'4 месяца'!N8+май!N8</f>
        <v>147613.106</v>
      </c>
      <c r="O8" s="356">
        <f>'4 месяца'!O8+май!O8</f>
        <v>34.335999999999999</v>
      </c>
    </row>
    <row r="9" spans="1:15" ht="13.5" thickTop="1" thickBot="1">
      <c r="A9" s="862"/>
      <c r="B9" s="182" t="s">
        <v>16</v>
      </c>
      <c r="C9" s="182" t="s">
        <v>17</v>
      </c>
      <c r="D9" s="354">
        <f t="shared" ref="D9:O9" si="1">SUM(D10:D11)</f>
        <v>68300</v>
      </c>
      <c r="E9" s="355">
        <f t="shared" si="1"/>
        <v>0</v>
      </c>
      <c r="F9" s="355">
        <f t="shared" si="1"/>
        <v>68300</v>
      </c>
      <c r="G9" s="355">
        <f t="shared" si="1"/>
        <v>0</v>
      </c>
      <c r="H9" s="355">
        <f t="shared" si="1"/>
        <v>0</v>
      </c>
      <c r="I9" s="355">
        <f t="shared" si="1"/>
        <v>0</v>
      </c>
      <c r="J9" s="247">
        <f t="shared" si="1"/>
        <v>59131.89</v>
      </c>
      <c r="K9" s="248">
        <f t="shared" si="1"/>
        <v>0</v>
      </c>
      <c r="L9" s="248">
        <f t="shared" si="1"/>
        <v>59131.89</v>
      </c>
      <c r="M9" s="248">
        <f t="shared" si="1"/>
        <v>0</v>
      </c>
      <c r="N9" s="248">
        <f t="shared" si="1"/>
        <v>0</v>
      </c>
      <c r="O9" s="248">
        <f t="shared" si="1"/>
        <v>0</v>
      </c>
    </row>
    <row r="10" spans="1:15" ht="13.5" thickTop="1" thickBot="1">
      <c r="A10" s="862"/>
      <c r="B10" s="186" t="s">
        <v>18</v>
      </c>
      <c r="C10" s="187" t="s">
        <v>162</v>
      </c>
      <c r="D10" s="357">
        <f>SUM(F10:I10)</f>
        <v>62660</v>
      </c>
      <c r="E10" s="358"/>
      <c r="F10" s="356">
        <f>'4 месяца'!F10+май!F10</f>
        <v>62660</v>
      </c>
      <c r="G10" s="358"/>
      <c r="H10" s="358"/>
      <c r="I10" s="358"/>
      <c r="J10" s="251">
        <f>SUM(L10:O10)</f>
        <v>53445.725999999995</v>
      </c>
      <c r="K10" s="252"/>
      <c r="L10" s="356">
        <f>'4 месяца'!L10+май!L10</f>
        <v>53445.725999999995</v>
      </c>
      <c r="M10" s="252"/>
      <c r="N10" s="252"/>
      <c r="O10" s="252"/>
    </row>
    <row r="11" spans="1:15" ht="13.5" thickTop="1" thickBot="1">
      <c r="A11" s="862"/>
      <c r="B11" s="186" t="s">
        <v>19</v>
      </c>
      <c r="C11" s="187" t="s">
        <v>163</v>
      </c>
      <c r="D11" s="357">
        <f>SUM(F11:I11)</f>
        <v>5640</v>
      </c>
      <c r="E11" s="358"/>
      <c r="F11" s="356">
        <f>'4 месяца'!F11+май!F11</f>
        <v>5640</v>
      </c>
      <c r="G11" s="358"/>
      <c r="H11" s="358"/>
      <c r="I11" s="358"/>
      <c r="J11" s="251">
        <f>SUM(L11:O11)</f>
        <v>5686.1640000000007</v>
      </c>
      <c r="K11" s="252"/>
      <c r="L11" s="356">
        <f>'4 месяца'!L11+май!L11</f>
        <v>5686.1640000000007</v>
      </c>
      <c r="M11" s="252"/>
      <c r="N11" s="252"/>
      <c r="O11" s="252"/>
    </row>
    <row r="12" spans="1:15" ht="13.5" thickTop="1" thickBot="1">
      <c r="A12" s="862"/>
      <c r="B12" s="182" t="s">
        <v>20</v>
      </c>
      <c r="C12" s="182" t="s">
        <v>21</v>
      </c>
      <c r="D12" s="354">
        <f>SUM(E12:I12)</f>
        <v>1074095</v>
      </c>
      <c r="E12" s="355"/>
      <c r="F12" s="356">
        <f>'4 месяца'!F12+май!F12</f>
        <v>880865</v>
      </c>
      <c r="G12" s="356">
        <f>'4 месяца'!G12+май!G12</f>
        <v>177630</v>
      </c>
      <c r="H12" s="356">
        <f>'4 месяца'!H12+май!H12</f>
        <v>15600</v>
      </c>
      <c r="I12" s="355"/>
      <c r="J12" s="247">
        <f>SUM(K12:O12)</f>
        <v>1187599.2320000001</v>
      </c>
      <c r="K12" s="248"/>
      <c r="L12" s="356">
        <f>'4 месяца'!L12+май!L12</f>
        <v>1037346.611</v>
      </c>
      <c r="M12" s="356">
        <f>'4 месяца'!M12+май!M12</f>
        <v>136479.56099999999</v>
      </c>
      <c r="N12" s="356">
        <f>'4 месяца'!N12+май!N12</f>
        <v>13773.059999999998</v>
      </c>
      <c r="O12" s="248"/>
    </row>
    <row r="13" spans="1:15" ht="13.5" thickTop="1" thickBot="1">
      <c r="A13" s="862"/>
      <c r="B13" s="186" t="s">
        <v>22</v>
      </c>
      <c r="C13" s="187" t="s">
        <v>23</v>
      </c>
      <c r="D13" s="354">
        <f>SUM(E13:I13)</f>
        <v>15600</v>
      </c>
      <c r="E13" s="355"/>
      <c r="F13" s="358"/>
      <c r="G13" s="358"/>
      <c r="H13" s="358">
        <f>H12</f>
        <v>15600</v>
      </c>
      <c r="I13" s="358"/>
      <c r="J13" s="247">
        <f>SUM(K13:O13)</f>
        <v>13773.059999999998</v>
      </c>
      <c r="K13" s="248"/>
      <c r="L13" s="252"/>
      <c r="M13" s="252"/>
      <c r="N13" s="358">
        <f>N12</f>
        <v>13773.059999999998</v>
      </c>
      <c r="O13" s="252"/>
    </row>
    <row r="14" spans="1:15" ht="13.5" thickTop="1" thickBot="1">
      <c r="A14" s="862"/>
      <c r="B14" s="182" t="s">
        <v>24</v>
      </c>
      <c r="C14" s="182" t="s">
        <v>25</v>
      </c>
      <c r="D14" s="354">
        <f>SUM(E14:I14)</f>
        <v>10300</v>
      </c>
      <c r="E14" s="355"/>
      <c r="F14" s="355"/>
      <c r="G14" s="356">
        <f>'4 месяца'!G14+май!G14</f>
        <v>10300</v>
      </c>
      <c r="H14" s="355"/>
      <c r="I14" s="355"/>
      <c r="J14" s="247">
        <f>SUM(K14:O14)</f>
        <v>1775.7999999999993</v>
      </c>
      <c r="K14" s="248"/>
      <c r="L14" s="248"/>
      <c r="M14" s="356">
        <f>'4 месяца'!M14+май!M14</f>
        <v>1775.7999999999993</v>
      </c>
      <c r="N14" s="248"/>
      <c r="O14" s="248"/>
    </row>
    <row r="15" spans="1:15" ht="13.5" thickTop="1" thickBot="1">
      <c r="A15" s="862"/>
      <c r="B15" s="179" t="s">
        <v>26</v>
      </c>
      <c r="C15" s="179" t="s">
        <v>27</v>
      </c>
      <c r="D15" s="352">
        <f t="shared" ref="D15:O15" si="2">SUM(D16:D18,D21)</f>
        <v>569960</v>
      </c>
      <c r="E15" s="359">
        <f t="shared" si="2"/>
        <v>0</v>
      </c>
      <c r="F15" s="359">
        <f t="shared" si="2"/>
        <v>567600</v>
      </c>
      <c r="G15" s="359">
        <f t="shared" si="2"/>
        <v>2080</v>
      </c>
      <c r="H15" s="359">
        <f t="shared" si="2"/>
        <v>110</v>
      </c>
      <c r="I15" s="359">
        <f t="shared" si="2"/>
        <v>170</v>
      </c>
      <c r="J15" s="244">
        <f t="shared" si="2"/>
        <v>536406.48999999987</v>
      </c>
      <c r="K15" s="253">
        <f t="shared" si="2"/>
        <v>0</v>
      </c>
      <c r="L15" s="253">
        <f t="shared" si="2"/>
        <v>534868.46699999995</v>
      </c>
      <c r="M15" s="253">
        <f t="shared" si="2"/>
        <v>1257.713</v>
      </c>
      <c r="N15" s="253">
        <f t="shared" si="2"/>
        <v>155.303</v>
      </c>
      <c r="O15" s="253">
        <f t="shared" si="2"/>
        <v>125.00700000000002</v>
      </c>
    </row>
    <row r="16" spans="1:15" ht="13.5" thickTop="1" thickBot="1">
      <c r="A16" s="862"/>
      <c r="B16" s="182" t="s">
        <v>28</v>
      </c>
      <c r="C16" s="182" t="s">
        <v>29</v>
      </c>
      <c r="D16" s="354">
        <f>SUM(E16:I16)</f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247">
        <f>SUM(K16:O16)</f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</row>
    <row r="17" spans="1:15" ht="13.5" thickTop="1" thickBot="1">
      <c r="A17" s="862"/>
      <c r="B17" s="182" t="s">
        <v>30</v>
      </c>
      <c r="C17" s="182" t="s">
        <v>31</v>
      </c>
      <c r="D17" s="354">
        <f>SUM(E17:I17)</f>
        <v>543410</v>
      </c>
      <c r="E17" s="356">
        <f>'4 месяца'!E17+май!E17</f>
        <v>0</v>
      </c>
      <c r="F17" s="356">
        <f>'4 месяца'!F17+май!F17</f>
        <v>543130</v>
      </c>
      <c r="G17" s="356">
        <f>'4 месяца'!G17+май!G17</f>
        <v>0</v>
      </c>
      <c r="H17" s="356">
        <f>'4 месяца'!H17+май!H17</f>
        <v>110</v>
      </c>
      <c r="I17" s="356">
        <f>'4 месяца'!I17+май!I17</f>
        <v>170</v>
      </c>
      <c r="J17" s="247">
        <f>SUM(K17:O17)</f>
        <v>510955.87899999996</v>
      </c>
      <c r="K17" s="356">
        <f>'4 месяца'!K17+май!K17</f>
        <v>0</v>
      </c>
      <c r="L17" s="356">
        <f>'4 месяца'!L17+май!L17</f>
        <v>510675.27499999997</v>
      </c>
      <c r="M17" s="356">
        <f>'4 месяца'!M17+май!M17</f>
        <v>0.29400000000000004</v>
      </c>
      <c r="N17" s="356">
        <f>'4 месяца'!N17+май!N17</f>
        <v>155.303</v>
      </c>
      <c r="O17" s="356">
        <f>'4 месяца'!O17+май!O17</f>
        <v>125.00700000000002</v>
      </c>
    </row>
    <row r="18" spans="1:15" ht="13.5" thickTop="1" thickBot="1">
      <c r="A18" s="862"/>
      <c r="B18" s="182" t="s">
        <v>32</v>
      </c>
      <c r="C18" s="182" t="s">
        <v>33</v>
      </c>
      <c r="D18" s="354">
        <f t="shared" ref="D18:O18" si="3">SUM(D19:D20)</f>
        <v>15630</v>
      </c>
      <c r="E18" s="355">
        <f t="shared" si="3"/>
        <v>0</v>
      </c>
      <c r="F18" s="355">
        <f t="shared" si="3"/>
        <v>14650</v>
      </c>
      <c r="G18" s="355">
        <f t="shared" si="3"/>
        <v>980</v>
      </c>
      <c r="H18" s="355">
        <f t="shared" si="3"/>
        <v>0</v>
      </c>
      <c r="I18" s="355">
        <f t="shared" si="3"/>
        <v>0</v>
      </c>
      <c r="J18" s="247">
        <f t="shared" si="3"/>
        <v>20260.624</v>
      </c>
      <c r="K18" s="248">
        <f t="shared" si="3"/>
        <v>0</v>
      </c>
      <c r="L18" s="248">
        <f t="shared" si="3"/>
        <v>19455.345999999998</v>
      </c>
      <c r="M18" s="248">
        <f t="shared" si="3"/>
        <v>805.27800000000002</v>
      </c>
      <c r="N18" s="248">
        <f t="shared" si="3"/>
        <v>0</v>
      </c>
      <c r="O18" s="248">
        <f t="shared" si="3"/>
        <v>0</v>
      </c>
    </row>
    <row r="19" spans="1:15" ht="13.5" thickTop="1" thickBot="1">
      <c r="A19" s="862"/>
      <c r="B19" s="186" t="s">
        <v>34</v>
      </c>
      <c r="C19" s="187" t="s">
        <v>162</v>
      </c>
      <c r="D19" s="357">
        <f t="shared" ref="D19:D29" si="4">SUM(E19:I19)</f>
        <v>1720</v>
      </c>
      <c r="E19" s="358"/>
      <c r="F19" s="356">
        <f>'4 месяца'!F19+май!F19</f>
        <v>1720</v>
      </c>
      <c r="G19" s="358">
        <v>0</v>
      </c>
      <c r="H19" s="358"/>
      <c r="I19" s="358"/>
      <c r="J19" s="251">
        <f t="shared" ref="J19:J29" si="5">SUM(K19:O19)</f>
        <v>6181.8879999999999</v>
      </c>
      <c r="K19" s="252"/>
      <c r="L19" s="356">
        <f>'4 месяца'!L19+май!L19</f>
        <v>6181.8879999999999</v>
      </c>
      <c r="M19" s="252"/>
      <c r="N19" s="252"/>
      <c r="O19" s="252"/>
    </row>
    <row r="20" spans="1:15" ht="13.5" thickTop="1" thickBot="1">
      <c r="A20" s="862"/>
      <c r="B20" s="190" t="s">
        <v>35</v>
      </c>
      <c r="C20" s="187" t="s">
        <v>163</v>
      </c>
      <c r="D20" s="357">
        <f t="shared" si="4"/>
        <v>13910</v>
      </c>
      <c r="E20" s="358"/>
      <c r="F20" s="356">
        <f>'4 месяца'!F20+май!F20</f>
        <v>12930</v>
      </c>
      <c r="G20" s="356">
        <f>'4 месяца'!G20+май!G20</f>
        <v>980</v>
      </c>
      <c r="H20" s="358"/>
      <c r="I20" s="358"/>
      <c r="J20" s="251">
        <f t="shared" si="5"/>
        <v>14078.735999999999</v>
      </c>
      <c r="K20" s="252"/>
      <c r="L20" s="356">
        <f>'4 месяца'!L20+май!L20</f>
        <v>13273.457999999999</v>
      </c>
      <c r="M20" s="356">
        <f>'4 месяца'!M20+май!M20</f>
        <v>805.27800000000002</v>
      </c>
      <c r="N20" s="252"/>
      <c r="O20" s="252"/>
    </row>
    <row r="21" spans="1:15" ht="13.5" thickTop="1" thickBot="1">
      <c r="A21" s="862"/>
      <c r="B21" s="182" t="s">
        <v>36</v>
      </c>
      <c r="C21" s="182" t="s">
        <v>37</v>
      </c>
      <c r="D21" s="354">
        <f t="shared" si="4"/>
        <v>10920</v>
      </c>
      <c r="E21" s="355"/>
      <c r="F21" s="356">
        <f>'4 месяца'!F21+май!F21</f>
        <v>9820</v>
      </c>
      <c r="G21" s="356">
        <f>'4 месяца'!G21+май!G21</f>
        <v>1100</v>
      </c>
      <c r="H21" s="355"/>
      <c r="I21" s="355"/>
      <c r="J21" s="247">
        <f t="shared" si="5"/>
        <v>5189.9869999999992</v>
      </c>
      <c r="K21" s="248"/>
      <c r="L21" s="356">
        <f>'4 месяца'!L21+май!L21</f>
        <v>4737.8459999999995</v>
      </c>
      <c r="M21" s="356">
        <f>'4 месяца'!M21+май!M21</f>
        <v>452.14100000000002</v>
      </c>
      <c r="N21" s="248"/>
      <c r="O21" s="248"/>
    </row>
    <row r="22" spans="1:15" s="17" customFormat="1" ht="13.5" thickTop="1" thickBot="1">
      <c r="A22" s="862"/>
      <c r="B22" s="232" t="s">
        <v>38</v>
      </c>
      <c r="C22" s="232" t="s">
        <v>39</v>
      </c>
      <c r="D22" s="361">
        <f t="shared" si="4"/>
        <v>1719390</v>
      </c>
      <c r="E22" s="361">
        <f>SUM(E23:E25,E28,E29)</f>
        <v>0</v>
      </c>
      <c r="F22" s="361">
        <f>SUM(F23:F25,F28,F29)</f>
        <v>1285410</v>
      </c>
      <c r="G22" s="361">
        <f>SUM(G23:G25,G28,G29)</f>
        <v>261430</v>
      </c>
      <c r="H22" s="361">
        <f>SUM(H23:H25,H28,H29)</f>
        <v>172670</v>
      </c>
      <c r="I22" s="361">
        <f>SUM(I23:I25,I28,I29)</f>
        <v>-120</v>
      </c>
      <c r="J22" s="256">
        <f t="shared" si="5"/>
        <v>1634679.9389999998</v>
      </c>
      <c r="K22" s="256">
        <f>SUM(K23:K25,K28,K29)</f>
        <v>0</v>
      </c>
      <c r="L22" s="256">
        <f>SUM(L23:L25,L28,L29)</f>
        <v>1270651.1580000001</v>
      </c>
      <c r="M22" s="256">
        <f>SUM(M23:M25,M28,M29)</f>
        <v>202888.58899999998</v>
      </c>
      <c r="N22" s="256">
        <f>SUM(N23:N25,N28,N29)</f>
        <v>161230.86299999998</v>
      </c>
      <c r="O22" s="256">
        <f>SUM(O23:O25,O28,O29)</f>
        <v>-90.671000000000021</v>
      </c>
    </row>
    <row r="23" spans="1:15" ht="13.5" thickTop="1" thickBot="1">
      <c r="A23" s="862"/>
      <c r="B23" s="182" t="s">
        <v>40</v>
      </c>
      <c r="C23" s="182" t="s">
        <v>41</v>
      </c>
      <c r="D23" s="354">
        <f t="shared" si="4"/>
        <v>0</v>
      </c>
      <c r="E23" s="354">
        <f t="shared" ref="E23:I28" si="6">E7-E16</f>
        <v>0</v>
      </c>
      <c r="F23" s="354">
        <f t="shared" si="6"/>
        <v>0</v>
      </c>
      <c r="G23" s="354">
        <f t="shared" si="6"/>
        <v>0</v>
      </c>
      <c r="H23" s="354">
        <f t="shared" si="6"/>
        <v>0</v>
      </c>
      <c r="I23" s="354">
        <f t="shared" si="6"/>
        <v>0</v>
      </c>
      <c r="J23" s="247">
        <f t="shared" si="5"/>
        <v>0</v>
      </c>
      <c r="K23" s="247">
        <f t="shared" ref="K23:O28" si="7">K7-K16</f>
        <v>0</v>
      </c>
      <c r="L23" s="247">
        <f t="shared" si="7"/>
        <v>0</v>
      </c>
      <c r="M23" s="247">
        <f t="shared" si="7"/>
        <v>0</v>
      </c>
      <c r="N23" s="247">
        <f t="shared" si="7"/>
        <v>0</v>
      </c>
      <c r="O23" s="247">
        <f t="shared" si="7"/>
        <v>0</v>
      </c>
    </row>
    <row r="24" spans="1:15" ht="13.5" thickTop="1" thickBot="1">
      <c r="A24" s="862"/>
      <c r="B24" s="182" t="s">
        <v>42</v>
      </c>
      <c r="C24" s="182" t="s">
        <v>43</v>
      </c>
      <c r="D24" s="354">
        <f t="shared" si="4"/>
        <v>593245</v>
      </c>
      <c r="E24" s="354">
        <f t="shared" si="6"/>
        <v>0</v>
      </c>
      <c r="F24" s="354">
        <f t="shared" si="6"/>
        <v>360715</v>
      </c>
      <c r="G24" s="354">
        <f t="shared" si="6"/>
        <v>75580</v>
      </c>
      <c r="H24" s="354">
        <f t="shared" si="6"/>
        <v>157070</v>
      </c>
      <c r="I24" s="354">
        <f t="shared" si="6"/>
        <v>-120</v>
      </c>
      <c r="J24" s="247">
        <f t="shared" si="5"/>
        <v>411623.62800000014</v>
      </c>
      <c r="K24" s="247">
        <f t="shared" si="7"/>
        <v>0</v>
      </c>
      <c r="L24" s="247">
        <f t="shared" si="7"/>
        <v>198365.8490000001</v>
      </c>
      <c r="M24" s="247">
        <f t="shared" si="7"/>
        <v>65890.647000000012</v>
      </c>
      <c r="N24" s="247">
        <f t="shared" si="7"/>
        <v>147457.80299999999</v>
      </c>
      <c r="O24" s="247">
        <f t="shared" si="7"/>
        <v>-90.671000000000021</v>
      </c>
    </row>
    <row r="25" spans="1:15" ht="13.5" thickTop="1" thickBot="1">
      <c r="A25" s="862"/>
      <c r="B25" s="182" t="s">
        <v>44</v>
      </c>
      <c r="C25" s="182" t="s">
        <v>45</v>
      </c>
      <c r="D25" s="354">
        <f t="shared" si="4"/>
        <v>52670</v>
      </c>
      <c r="E25" s="354">
        <f t="shared" si="6"/>
        <v>0</v>
      </c>
      <c r="F25" s="354">
        <f t="shared" si="6"/>
        <v>53650</v>
      </c>
      <c r="G25" s="354">
        <f t="shared" si="6"/>
        <v>-980</v>
      </c>
      <c r="H25" s="354">
        <f t="shared" si="6"/>
        <v>0</v>
      </c>
      <c r="I25" s="354">
        <f t="shared" si="6"/>
        <v>0</v>
      </c>
      <c r="J25" s="247">
        <f t="shared" si="5"/>
        <v>38871.266000000003</v>
      </c>
      <c r="K25" s="247">
        <f t="shared" si="7"/>
        <v>0</v>
      </c>
      <c r="L25" s="247">
        <f t="shared" si="7"/>
        <v>39676.544000000002</v>
      </c>
      <c r="M25" s="247">
        <f t="shared" si="7"/>
        <v>-805.27800000000002</v>
      </c>
      <c r="N25" s="247">
        <f t="shared" si="7"/>
        <v>0</v>
      </c>
      <c r="O25" s="247">
        <f t="shared" si="7"/>
        <v>0</v>
      </c>
    </row>
    <row r="26" spans="1:15" ht="13.5" thickTop="1" thickBot="1">
      <c r="A26" s="862"/>
      <c r="B26" s="186" t="s">
        <v>46</v>
      </c>
      <c r="C26" s="187" t="s">
        <v>162</v>
      </c>
      <c r="D26" s="354">
        <f t="shared" si="4"/>
        <v>60940</v>
      </c>
      <c r="E26" s="357">
        <f t="shared" si="6"/>
        <v>0</v>
      </c>
      <c r="F26" s="357">
        <f t="shared" si="6"/>
        <v>60940</v>
      </c>
      <c r="G26" s="357">
        <f t="shared" si="6"/>
        <v>0</v>
      </c>
      <c r="H26" s="357">
        <f t="shared" si="6"/>
        <v>0</v>
      </c>
      <c r="I26" s="357">
        <f t="shared" si="6"/>
        <v>0</v>
      </c>
      <c r="J26" s="247">
        <f t="shared" si="5"/>
        <v>47263.837999999996</v>
      </c>
      <c r="K26" s="251">
        <f t="shared" si="7"/>
        <v>0</v>
      </c>
      <c r="L26" s="251">
        <f t="shared" si="7"/>
        <v>47263.837999999996</v>
      </c>
      <c r="M26" s="251">
        <f t="shared" si="7"/>
        <v>0</v>
      </c>
      <c r="N26" s="251">
        <f t="shared" si="7"/>
        <v>0</v>
      </c>
      <c r="O26" s="251">
        <f t="shared" si="7"/>
        <v>0</v>
      </c>
    </row>
    <row r="27" spans="1:15" ht="13.5" thickTop="1" thickBot="1">
      <c r="A27" s="862"/>
      <c r="B27" s="186" t="s">
        <v>47</v>
      </c>
      <c r="C27" s="187" t="s">
        <v>163</v>
      </c>
      <c r="D27" s="354">
        <f t="shared" si="4"/>
        <v>-8270</v>
      </c>
      <c r="E27" s="357">
        <f t="shared" si="6"/>
        <v>0</v>
      </c>
      <c r="F27" s="357">
        <f t="shared" si="6"/>
        <v>-7290</v>
      </c>
      <c r="G27" s="357">
        <f t="shared" si="6"/>
        <v>-980</v>
      </c>
      <c r="H27" s="357">
        <f t="shared" si="6"/>
        <v>0</v>
      </c>
      <c r="I27" s="357">
        <f t="shared" si="6"/>
        <v>0</v>
      </c>
      <c r="J27" s="247">
        <f t="shared" si="5"/>
        <v>-8392.5719999999983</v>
      </c>
      <c r="K27" s="251">
        <f t="shared" si="7"/>
        <v>0</v>
      </c>
      <c r="L27" s="251">
        <f t="shared" si="7"/>
        <v>-7587.2939999999981</v>
      </c>
      <c r="M27" s="251">
        <f t="shared" si="7"/>
        <v>-805.27800000000002</v>
      </c>
      <c r="N27" s="251">
        <f t="shared" si="7"/>
        <v>0</v>
      </c>
      <c r="O27" s="251">
        <f t="shared" si="7"/>
        <v>0</v>
      </c>
    </row>
    <row r="28" spans="1:15" ht="13.5" thickTop="1" thickBot="1">
      <c r="A28" s="862"/>
      <c r="B28" s="182" t="s">
        <v>48</v>
      </c>
      <c r="C28" s="182" t="s">
        <v>49</v>
      </c>
      <c r="D28" s="354">
        <f t="shared" si="4"/>
        <v>1063175</v>
      </c>
      <c r="E28" s="354">
        <f t="shared" si="6"/>
        <v>0</v>
      </c>
      <c r="F28" s="354">
        <f t="shared" si="6"/>
        <v>871045</v>
      </c>
      <c r="G28" s="354">
        <f t="shared" si="6"/>
        <v>176530</v>
      </c>
      <c r="H28" s="354">
        <f t="shared" si="6"/>
        <v>15600</v>
      </c>
      <c r="I28" s="354">
        <f t="shared" si="6"/>
        <v>0</v>
      </c>
      <c r="J28" s="247">
        <f t="shared" si="5"/>
        <v>1182409.2450000001</v>
      </c>
      <c r="K28" s="247">
        <f t="shared" si="7"/>
        <v>0</v>
      </c>
      <c r="L28" s="247">
        <f t="shared" si="7"/>
        <v>1032608.765</v>
      </c>
      <c r="M28" s="247">
        <f t="shared" si="7"/>
        <v>136027.41999999998</v>
      </c>
      <c r="N28" s="247">
        <f t="shared" si="7"/>
        <v>13773.059999999998</v>
      </c>
      <c r="O28" s="247">
        <f t="shared" si="7"/>
        <v>0</v>
      </c>
    </row>
    <row r="29" spans="1:15" ht="13.5" thickTop="1" thickBot="1">
      <c r="A29" s="862"/>
      <c r="B29" s="182" t="s">
        <v>50</v>
      </c>
      <c r="C29" s="182" t="s">
        <v>25</v>
      </c>
      <c r="D29" s="354">
        <f t="shared" si="4"/>
        <v>10300</v>
      </c>
      <c r="E29" s="354">
        <f>E14</f>
        <v>0</v>
      </c>
      <c r="F29" s="354">
        <f>F14</f>
        <v>0</v>
      </c>
      <c r="G29" s="354">
        <f>G14</f>
        <v>10300</v>
      </c>
      <c r="H29" s="354">
        <f>H14</f>
        <v>0</v>
      </c>
      <c r="I29" s="354">
        <f>I14</f>
        <v>0</v>
      </c>
      <c r="J29" s="247">
        <f t="shared" si="5"/>
        <v>1775.7999999999993</v>
      </c>
      <c r="K29" s="247">
        <f>K14</f>
        <v>0</v>
      </c>
      <c r="L29" s="247">
        <f>L14</f>
        <v>0</v>
      </c>
      <c r="M29" s="247">
        <f>M14</f>
        <v>1775.7999999999993</v>
      </c>
      <c r="N29" s="247">
        <f>N14</f>
        <v>0</v>
      </c>
      <c r="O29" s="247">
        <f>O14</f>
        <v>0</v>
      </c>
    </row>
    <row r="30" spans="1:15" ht="13.5" thickTop="1" thickBot="1">
      <c r="A30" s="862" t="s">
        <v>51</v>
      </c>
      <c r="B30" s="179" t="s">
        <v>52</v>
      </c>
      <c r="C30" s="179" t="s">
        <v>53</v>
      </c>
      <c r="D30" s="362">
        <f>SUM(F30:I30)</f>
        <v>2094166</v>
      </c>
      <c r="E30" s="362"/>
      <c r="F30" s="362">
        <f>SUM(F31:F33)</f>
        <v>0</v>
      </c>
      <c r="G30" s="362">
        <f>SUM(G31:G33)</f>
        <v>264936</v>
      </c>
      <c r="H30" s="362">
        <f>SUM(H31:H33)</f>
        <v>1101300</v>
      </c>
      <c r="I30" s="362">
        <f>SUM(I31:I33)</f>
        <v>727930</v>
      </c>
      <c r="J30" s="258">
        <f>SUM(L30:O30)</f>
        <v>2024251.5108000003</v>
      </c>
      <c r="K30" s="258"/>
      <c r="L30" s="258">
        <f>SUM(L31:L33)</f>
        <v>0</v>
      </c>
      <c r="M30" s="258">
        <f>SUM(M31:M33)</f>
        <v>256845.79219999997</v>
      </c>
      <c r="N30" s="258">
        <f>SUM(N31:N33)</f>
        <v>1051616.8466000003</v>
      </c>
      <c r="O30" s="258">
        <f>SUM(O31:O33)</f>
        <v>715788.87200000009</v>
      </c>
    </row>
    <row r="31" spans="1:15" ht="13.5" thickTop="1" thickBot="1">
      <c r="A31" s="862"/>
      <c r="B31" s="182" t="s">
        <v>54</v>
      </c>
      <c r="C31" s="182" t="s">
        <v>55</v>
      </c>
      <c r="D31" s="354">
        <f t="shared" ref="D31:D43" si="8">SUM(E31:I31)</f>
        <v>883120</v>
      </c>
      <c r="E31" s="363"/>
      <c r="F31" s="364"/>
      <c r="G31" s="354">
        <f>F36</f>
        <v>264936</v>
      </c>
      <c r="H31" s="354">
        <f>F37</f>
        <v>618184</v>
      </c>
      <c r="I31" s="363"/>
      <c r="J31" s="247">
        <f t="shared" ref="J31:J43" si="9">SUM(K31:O31)</f>
        <v>888311.09560000012</v>
      </c>
      <c r="K31" s="259"/>
      <c r="L31" s="260"/>
      <c r="M31" s="247">
        <f>L36</f>
        <v>256845.79219999997</v>
      </c>
      <c r="N31" s="247">
        <f>L37</f>
        <v>631465.30340000009</v>
      </c>
      <c r="O31" s="259"/>
    </row>
    <row r="32" spans="1:15" ht="13.5" thickTop="1" thickBot="1">
      <c r="A32" s="862"/>
      <c r="B32" s="182" t="s">
        <v>56</v>
      </c>
      <c r="C32" s="182" t="s">
        <v>57</v>
      </c>
      <c r="D32" s="354">
        <f t="shared" si="8"/>
        <v>483116</v>
      </c>
      <c r="E32" s="363"/>
      <c r="F32" s="363"/>
      <c r="G32" s="363"/>
      <c r="H32" s="354">
        <f>G37</f>
        <v>483116</v>
      </c>
      <c r="I32" s="364">
        <f>G43</f>
        <v>0</v>
      </c>
      <c r="J32" s="247">
        <f t="shared" si="9"/>
        <v>420151.54320000007</v>
      </c>
      <c r="K32" s="259"/>
      <c r="L32" s="259"/>
      <c r="M32" s="259"/>
      <c r="N32" s="247">
        <f>M37</f>
        <v>420151.54320000007</v>
      </c>
      <c r="O32" s="260">
        <f>M43</f>
        <v>0</v>
      </c>
    </row>
    <row r="33" spans="1:15" ht="13.5" thickTop="1" thickBot="1">
      <c r="A33" s="862"/>
      <c r="B33" s="182" t="s">
        <v>58</v>
      </c>
      <c r="C33" s="182" t="s">
        <v>59</v>
      </c>
      <c r="D33" s="354">
        <f t="shared" si="8"/>
        <v>727930</v>
      </c>
      <c r="E33" s="363"/>
      <c r="F33" s="363"/>
      <c r="G33" s="363"/>
      <c r="H33" s="363"/>
      <c r="I33" s="354">
        <f>G38+H38</f>
        <v>727930</v>
      </c>
      <c r="J33" s="247">
        <f t="shared" si="9"/>
        <v>715788.87200000009</v>
      </c>
      <c r="K33" s="259"/>
      <c r="L33" s="259"/>
      <c r="M33" s="259"/>
      <c r="N33" s="259"/>
      <c r="O33" s="247">
        <f>M38+N38</f>
        <v>715788.87200000009</v>
      </c>
    </row>
    <row r="34" spans="1:15" ht="13.5" thickTop="1" thickBot="1">
      <c r="A34" s="862"/>
      <c r="B34" s="179" t="s">
        <v>60</v>
      </c>
      <c r="C34" s="179" t="s">
        <v>61</v>
      </c>
      <c r="D34" s="362">
        <f t="shared" si="8"/>
        <v>2094166</v>
      </c>
      <c r="E34" s="362"/>
      <c r="F34" s="362">
        <f>SUM(F35:F38)</f>
        <v>883120</v>
      </c>
      <c r="G34" s="362">
        <f>SUM(G35:G38)</f>
        <v>483116</v>
      </c>
      <c r="H34" s="362">
        <f>SUM(H35:H38)</f>
        <v>727930</v>
      </c>
      <c r="I34" s="285">
        <f>SUM(I35:I38)</f>
        <v>0</v>
      </c>
      <c r="J34" s="258">
        <f t="shared" si="9"/>
        <v>2024251.5108000003</v>
      </c>
      <c r="K34" s="258"/>
      <c r="L34" s="258">
        <f>SUM(L35:L38)</f>
        <v>888311.09560000012</v>
      </c>
      <c r="M34" s="258">
        <f>SUM(M35:M38)</f>
        <v>420151.54320000007</v>
      </c>
      <c r="N34" s="258">
        <f>SUM(N35:N38)</f>
        <v>715788.87200000009</v>
      </c>
      <c r="O34" s="261">
        <f>SUM(O35:O38)</f>
        <v>0</v>
      </c>
    </row>
    <row r="35" spans="1:15" ht="13.5" thickTop="1" thickBot="1">
      <c r="A35" s="862"/>
      <c r="B35" s="182" t="s">
        <v>62</v>
      </c>
      <c r="C35" s="182" t="s">
        <v>63</v>
      </c>
      <c r="D35" s="354">
        <f t="shared" si="8"/>
        <v>0</v>
      </c>
      <c r="E35" s="364"/>
      <c r="F35" s="363"/>
      <c r="G35" s="363"/>
      <c r="H35" s="363"/>
      <c r="I35" s="363"/>
      <c r="J35" s="247">
        <f t="shared" si="9"/>
        <v>0</v>
      </c>
      <c r="K35" s="260"/>
      <c r="L35" s="259"/>
      <c r="M35" s="259"/>
      <c r="N35" s="259"/>
      <c r="O35" s="259"/>
    </row>
    <row r="36" spans="1:15" ht="13.5" thickTop="1" thickBot="1">
      <c r="A36" s="862"/>
      <c r="B36" s="182" t="s">
        <v>64</v>
      </c>
      <c r="C36" s="182" t="s">
        <v>65</v>
      </c>
      <c r="D36" s="354">
        <f t="shared" si="8"/>
        <v>264936</v>
      </c>
      <c r="E36" s="354"/>
      <c r="F36" s="356">
        <f>'4 месяца'!F36+май!F36</f>
        <v>264936</v>
      </c>
      <c r="G36" s="259"/>
      <c r="H36" s="259"/>
      <c r="I36" s="363"/>
      <c r="J36" s="247">
        <f t="shared" si="9"/>
        <v>256845.79219999997</v>
      </c>
      <c r="K36" s="247"/>
      <c r="L36" s="333">
        <f>'4 месяца'!L36+май!L36</f>
        <v>256845.79219999997</v>
      </c>
      <c r="M36" s="259"/>
      <c r="N36" s="259"/>
      <c r="O36" s="259"/>
    </row>
    <row r="37" spans="1:15" ht="13.5" thickTop="1" thickBot="1">
      <c r="A37" s="862"/>
      <c r="B37" s="182" t="s">
        <v>66</v>
      </c>
      <c r="C37" s="182" t="s">
        <v>67</v>
      </c>
      <c r="D37" s="354">
        <f t="shared" si="8"/>
        <v>1101300</v>
      </c>
      <c r="E37" s="354"/>
      <c r="F37" s="356">
        <f>'4 месяца'!F37+май!F37</f>
        <v>618184</v>
      </c>
      <c r="G37" s="356">
        <f>'4 месяца'!G37+май!G37</f>
        <v>483116</v>
      </c>
      <c r="H37" s="259"/>
      <c r="I37" s="363"/>
      <c r="J37" s="247">
        <f t="shared" si="9"/>
        <v>1051616.8466000003</v>
      </c>
      <c r="K37" s="247"/>
      <c r="L37" s="333">
        <f>'4 месяца'!L37+май!L37</f>
        <v>631465.30340000009</v>
      </c>
      <c r="M37" s="333">
        <f>'4 месяца'!M37+май!M37</f>
        <v>420151.54320000007</v>
      </c>
      <c r="N37" s="259"/>
      <c r="O37" s="259"/>
    </row>
    <row r="38" spans="1:15" ht="13.5" thickTop="1" thickBot="1">
      <c r="A38" s="862"/>
      <c r="B38" s="182" t="s">
        <v>68</v>
      </c>
      <c r="C38" s="182" t="s">
        <v>69</v>
      </c>
      <c r="D38" s="354">
        <f t="shared" si="8"/>
        <v>727930</v>
      </c>
      <c r="E38" s="363"/>
      <c r="F38" s="259"/>
      <c r="G38" s="260"/>
      <c r="H38" s="356">
        <f>'4 месяца'!H38+май!H38</f>
        <v>727930</v>
      </c>
      <c r="I38" s="363"/>
      <c r="J38" s="247">
        <f t="shared" si="9"/>
        <v>715788.87200000009</v>
      </c>
      <c r="K38" s="259"/>
      <c r="L38" s="259"/>
      <c r="M38" s="260"/>
      <c r="N38" s="333">
        <f>'4 месяца'!N38+май!N38</f>
        <v>715788.87200000009</v>
      </c>
      <c r="O38" s="259"/>
    </row>
    <row r="39" spans="1:15" s="17" customFormat="1" ht="13.5" thickTop="1" thickBot="1">
      <c r="A39" s="862"/>
      <c r="B39" s="232" t="s">
        <v>70</v>
      </c>
      <c r="C39" s="232" t="s">
        <v>71</v>
      </c>
      <c r="D39" s="365">
        <f t="shared" si="8"/>
        <v>0</v>
      </c>
      <c r="E39" s="365"/>
      <c r="F39" s="365">
        <f>SUM(F40:F43)</f>
        <v>-883120</v>
      </c>
      <c r="G39" s="365">
        <f>SUM(G40:G43)</f>
        <v>-218180</v>
      </c>
      <c r="H39" s="365">
        <f>SUM(H40:H43)</f>
        <v>373370</v>
      </c>
      <c r="I39" s="365">
        <f>SUM(I40:I43)</f>
        <v>727930</v>
      </c>
      <c r="J39" s="262">
        <f t="shared" si="9"/>
        <v>0</v>
      </c>
      <c r="K39" s="262"/>
      <c r="L39" s="262">
        <f>SUM(L40:L43)</f>
        <v>-888311.09560000012</v>
      </c>
      <c r="M39" s="262">
        <f>SUM(M40:M43)</f>
        <v>-163305.75100000011</v>
      </c>
      <c r="N39" s="262">
        <f>SUM(N40:N43)</f>
        <v>335827.97460000019</v>
      </c>
      <c r="O39" s="262">
        <f>SUM(O40:O43)</f>
        <v>715788.87200000009</v>
      </c>
    </row>
    <row r="40" spans="1:15" ht="13.5" thickTop="1" thickBot="1">
      <c r="A40" s="862"/>
      <c r="B40" s="182" t="s">
        <v>72</v>
      </c>
      <c r="C40" s="182" t="s">
        <v>5</v>
      </c>
      <c r="D40" s="366">
        <f t="shared" si="8"/>
        <v>883120</v>
      </c>
      <c r="E40" s="367"/>
      <c r="F40" s="367">
        <f>F31-F35</f>
        <v>0</v>
      </c>
      <c r="G40" s="367">
        <f>G31-G35</f>
        <v>264936</v>
      </c>
      <c r="H40" s="367">
        <f>H31-H35</f>
        <v>618184</v>
      </c>
      <c r="I40" s="368"/>
      <c r="J40" s="264">
        <f t="shared" si="9"/>
        <v>888311.09560000012</v>
      </c>
      <c r="K40" s="265"/>
      <c r="L40" s="265">
        <f>L31-L35</f>
        <v>0</v>
      </c>
      <c r="M40" s="265">
        <f>M31-M35</f>
        <v>256845.79219999997</v>
      </c>
      <c r="N40" s="265">
        <f>N31-N35</f>
        <v>631465.30340000009</v>
      </c>
      <c r="O40" s="266"/>
    </row>
    <row r="41" spans="1:15" ht="13.5" thickTop="1" thickBot="1">
      <c r="A41" s="862"/>
      <c r="B41" s="182" t="s">
        <v>73</v>
      </c>
      <c r="C41" s="182" t="s">
        <v>74</v>
      </c>
      <c r="D41" s="366">
        <f t="shared" si="8"/>
        <v>218180</v>
      </c>
      <c r="E41" s="367">
        <f>E32-E36</f>
        <v>0</v>
      </c>
      <c r="F41" s="367">
        <f>F32-F36</f>
        <v>-264936</v>
      </c>
      <c r="G41" s="368"/>
      <c r="H41" s="367">
        <f>H32-H36</f>
        <v>483116</v>
      </c>
      <c r="I41" s="368"/>
      <c r="J41" s="264">
        <f t="shared" si="9"/>
        <v>163305.75100000011</v>
      </c>
      <c r="K41" s="265">
        <f>K32-K36</f>
        <v>0</v>
      </c>
      <c r="L41" s="265">
        <f>L32-L36</f>
        <v>-256845.79219999997</v>
      </c>
      <c r="M41" s="266"/>
      <c r="N41" s="265">
        <f>N32-N36</f>
        <v>420151.54320000007</v>
      </c>
      <c r="O41" s="266"/>
    </row>
    <row r="42" spans="1:15" ht="13.5" thickTop="1" thickBot="1">
      <c r="A42" s="862"/>
      <c r="B42" s="182" t="s">
        <v>75</v>
      </c>
      <c r="C42" s="182" t="s">
        <v>76</v>
      </c>
      <c r="D42" s="366">
        <f t="shared" si="8"/>
        <v>-373370</v>
      </c>
      <c r="E42" s="367">
        <f>E33-E37</f>
        <v>0</v>
      </c>
      <c r="F42" s="367">
        <f>F33-F37</f>
        <v>-618184</v>
      </c>
      <c r="G42" s="367">
        <f>G33-G37</f>
        <v>-483116</v>
      </c>
      <c r="H42" s="368"/>
      <c r="I42" s="367">
        <f>I33-I37</f>
        <v>727930</v>
      </c>
      <c r="J42" s="264">
        <f t="shared" si="9"/>
        <v>-335827.97460000019</v>
      </c>
      <c r="K42" s="265">
        <f>K33-K37</f>
        <v>0</v>
      </c>
      <c r="L42" s="265">
        <f>L33-L37</f>
        <v>-631465.30340000009</v>
      </c>
      <c r="M42" s="265">
        <f>M33-M37</f>
        <v>-420151.54320000007</v>
      </c>
      <c r="N42" s="266"/>
      <c r="O42" s="265">
        <f>O33-O37</f>
        <v>715788.87200000009</v>
      </c>
    </row>
    <row r="43" spans="1:15" ht="13.5" thickTop="1" thickBot="1">
      <c r="A43" s="862"/>
      <c r="B43" s="199" t="s">
        <v>77</v>
      </c>
      <c r="C43" s="199" t="s">
        <v>8</v>
      </c>
      <c r="D43" s="367">
        <f t="shared" si="8"/>
        <v>-727930</v>
      </c>
      <c r="E43" s="368"/>
      <c r="F43" s="368"/>
      <c r="G43" s="367"/>
      <c r="H43" s="367">
        <f>-H38</f>
        <v>-727930</v>
      </c>
      <c r="I43" s="368"/>
      <c r="J43" s="265">
        <f t="shared" si="9"/>
        <v>-715788.87200000009</v>
      </c>
      <c r="K43" s="266"/>
      <c r="L43" s="266"/>
      <c r="M43" s="265"/>
      <c r="N43" s="265">
        <f>-N38</f>
        <v>-715788.87200000009</v>
      </c>
      <c r="O43" s="266"/>
    </row>
    <row r="44" spans="1:15" ht="13.5" thickTop="1" thickBot="1">
      <c r="A44" s="177"/>
      <c r="B44" s="200" t="s">
        <v>78</v>
      </c>
      <c r="C44" s="200" t="s">
        <v>79</v>
      </c>
      <c r="D44" s="201">
        <f>D22</f>
        <v>1719390</v>
      </c>
      <c r="E44" s="201">
        <f>E22+E30</f>
        <v>0</v>
      </c>
      <c r="F44" s="201">
        <f>F22+F30</f>
        <v>1285410</v>
      </c>
      <c r="G44" s="201">
        <f>G22+G30</f>
        <v>526366</v>
      </c>
      <c r="H44" s="201">
        <f>H22+H30</f>
        <v>1273970</v>
      </c>
      <c r="I44" s="201">
        <f>I22+I30</f>
        <v>727810</v>
      </c>
      <c r="J44" s="201">
        <f>J22</f>
        <v>1634679.9389999998</v>
      </c>
      <c r="K44" s="201">
        <f>K22+K30</f>
        <v>0</v>
      </c>
      <c r="L44" s="201">
        <f>L22+L30</f>
        <v>1270651.1580000001</v>
      </c>
      <c r="M44" s="201">
        <f>M22+M30</f>
        <v>459734.38119999995</v>
      </c>
      <c r="N44" s="201">
        <f>N22+N30</f>
        <v>1212847.7096000002</v>
      </c>
      <c r="O44" s="201">
        <f>O22+O30</f>
        <v>715698.20100000012</v>
      </c>
    </row>
    <row r="45" spans="1:15" ht="13.5" thickTop="1" thickBot="1">
      <c r="A45" s="177"/>
      <c r="B45" s="202" t="s">
        <v>80</v>
      </c>
      <c r="C45" s="202" t="s">
        <v>81</v>
      </c>
      <c r="D45" s="203">
        <f>D44</f>
        <v>1719390</v>
      </c>
      <c r="E45" s="203">
        <f>E143+E151+E34</f>
        <v>0</v>
      </c>
      <c r="F45" s="203">
        <f>F143+F151+F34-G49-H49-G73-H73-G78-H78-H54-H97-H109-G97-G102-H102-G109-G114-H114-G121-H121-G126-H126-G133-H133</f>
        <v>1285410</v>
      </c>
      <c r="G45" s="203">
        <f>G143+G151+G34-H50-I50-H55-I55-H62-I62-H67-I67-H98-H74-H79-H86-H91-H103-H110-H115-H122-H127-H134</f>
        <v>510745.19999999995</v>
      </c>
      <c r="H45" s="203">
        <f>H143+H151+H34-I51-I56-I63-I68-I75-I80-I87-I92-I99-I104-I111-I116-I123-I128</f>
        <v>1166806</v>
      </c>
      <c r="I45" s="203">
        <f>I151+I143</f>
        <v>721665.60000000009</v>
      </c>
      <c r="J45" s="203">
        <f>J44</f>
        <v>1634679.9389999998</v>
      </c>
      <c r="K45" s="203">
        <f>K143+K151+K34</f>
        <v>0</v>
      </c>
      <c r="L45" s="203">
        <f>L143+L151+L34-M49-N49-M73-N73-M78-N78-N54-N97-N109-M97-M102-N102-M109-M114-N114-M121-N121-M126-N126-M133-N133</f>
        <v>1270651.1579999998</v>
      </c>
      <c r="M45" s="203">
        <f>M143+M151+M34-N50-O50-N55-O55-N62-O62-N67-O67-N98-N74-N79-N86-N91-N103-N110-N115-N122-N127-N134</f>
        <v>444744.63119999995</v>
      </c>
      <c r="N45" s="203">
        <f>N143+N151+N34-O51-O56-O63-O68-O75-O80-O87-O92-O99-O104-O111-O116-O123-O128</f>
        <v>1098902.1446000002</v>
      </c>
      <c r="O45" s="203">
        <f>O151+O143</f>
        <v>708565.63400000008</v>
      </c>
    </row>
    <row r="46" spans="1:15" ht="13.5" thickTop="1" thickBot="1">
      <c r="A46" s="862" t="s">
        <v>82</v>
      </c>
      <c r="B46" s="179" t="s">
        <v>83</v>
      </c>
      <c r="C46" s="179" t="s">
        <v>84</v>
      </c>
      <c r="D46" s="181">
        <f>SUM(E46:I46)</f>
        <v>1397820</v>
      </c>
      <c r="E46" s="322">
        <f>E47+E59+E71+E83+E95</f>
        <v>0</v>
      </c>
      <c r="F46" s="322">
        <f>F47+F59+F71+F83+F95+F107+F119+F131</f>
        <v>352510</v>
      </c>
      <c r="G46" s="322">
        <f>G47+G59+G71+G83+G95+G107+G119+G131</f>
        <v>19380</v>
      </c>
      <c r="H46" s="322">
        <f>H47+H59+H71+H83+H95+H107+H119+H131</f>
        <v>455160</v>
      </c>
      <c r="I46" s="322">
        <f>I47+I59+I71+I83+I95+I107+I119+I131</f>
        <v>570770</v>
      </c>
      <c r="J46" s="181">
        <f>SUM(K46:O46)</f>
        <v>1261905.291</v>
      </c>
      <c r="K46" s="322">
        <f>K47+K59+K71+K83+K95</f>
        <v>0</v>
      </c>
      <c r="L46" s="322">
        <f>L47+L59+L71+L83+L95+L107+L119+L131</f>
        <v>334022.01599999995</v>
      </c>
      <c r="M46" s="322">
        <f>M47+M59+M71+M83+M95+M107+M119+M131</f>
        <v>19490.281000000003</v>
      </c>
      <c r="N46" s="322">
        <f>N47+N59+N71+N83+N95+N107+N119+N131</f>
        <v>412771.56200000003</v>
      </c>
      <c r="O46" s="322">
        <f>O47+O59+O71+O83+O95+O107+O119+O131</f>
        <v>495621.43200000003</v>
      </c>
    </row>
    <row r="47" spans="1:15" s="3" customFormat="1" ht="13.5" thickTop="1" thickBot="1">
      <c r="A47" s="862"/>
      <c r="B47" s="270" t="s">
        <v>85</v>
      </c>
      <c r="C47" s="271" t="s">
        <v>86</v>
      </c>
      <c r="D47" s="369">
        <f t="shared" ref="D47:D77" si="10">SUM(E47:I47)</f>
        <v>993610</v>
      </c>
      <c r="E47" s="356">
        <f>'4 месяца'!E47+май!E47</f>
        <v>0</v>
      </c>
      <c r="F47" s="356">
        <f>'4 месяца'!F47+май!F47</f>
        <v>4440</v>
      </c>
      <c r="G47" s="356">
        <f>'4 месяца'!G47+май!G47</f>
        <v>5280</v>
      </c>
      <c r="H47" s="356">
        <f>'4 месяца'!H47+май!H47</f>
        <v>415810</v>
      </c>
      <c r="I47" s="356">
        <f>'4 месяца'!I47+май!I47</f>
        <v>568080</v>
      </c>
      <c r="J47" s="272">
        <f t="shared" ref="J47:J76" si="11">SUM(K47:O47)</f>
        <v>892141.27300000004</v>
      </c>
      <c r="K47" s="356">
        <f>'4 месяца'!K47+май!K47</f>
        <v>0</v>
      </c>
      <c r="L47" s="356">
        <f>'4 месяца'!L47+май!L47</f>
        <v>11204.687</v>
      </c>
      <c r="M47" s="356">
        <f>'4 месяца'!M47+май!M47</f>
        <v>4500.5309999999999</v>
      </c>
      <c r="N47" s="356">
        <f>'4 месяца'!N47+май!N47</f>
        <v>383855.21799999999</v>
      </c>
      <c r="O47" s="356">
        <f>'4 месяца'!O47+май!O47</f>
        <v>492580.83700000006</v>
      </c>
    </row>
    <row r="48" spans="1:15" ht="13.5" thickTop="1" thickBot="1">
      <c r="A48" s="862"/>
      <c r="B48" s="263" t="s">
        <v>87</v>
      </c>
      <c r="C48" s="263" t="s">
        <v>88</v>
      </c>
      <c r="D48" s="367">
        <f t="shared" si="10"/>
        <v>0</v>
      </c>
      <c r="E48" s="367"/>
      <c r="F48" s="367"/>
      <c r="G48" s="367"/>
      <c r="H48" s="367"/>
      <c r="I48" s="367"/>
      <c r="J48" s="265">
        <f t="shared" si="11"/>
        <v>0</v>
      </c>
      <c r="K48" s="265"/>
      <c r="L48" s="265"/>
      <c r="M48" s="265"/>
      <c r="N48" s="265"/>
      <c r="O48" s="265"/>
    </row>
    <row r="49" spans="1:15" ht="13.5" thickTop="1" thickBot="1">
      <c r="A49" s="862"/>
      <c r="B49" s="275"/>
      <c r="C49" s="276" t="s">
        <v>89</v>
      </c>
      <c r="D49" s="371">
        <f t="shared" si="10"/>
        <v>55600</v>
      </c>
      <c r="E49" s="372"/>
      <c r="F49" s="372"/>
      <c r="G49" s="371"/>
      <c r="H49" s="356">
        <f>'4 месяца'!H49+май!H49</f>
        <v>55600</v>
      </c>
      <c r="I49" s="372"/>
      <c r="J49" s="277">
        <f t="shared" si="11"/>
        <v>67522.062999999995</v>
      </c>
      <c r="K49" s="278"/>
      <c r="L49" s="278"/>
      <c r="M49" s="277"/>
      <c r="N49" s="356">
        <f>'4 месяца'!N49+май!N49</f>
        <v>67522.062999999995</v>
      </c>
      <c r="O49" s="278"/>
    </row>
    <row r="50" spans="1:15" ht="13.5" thickTop="1" thickBot="1">
      <c r="A50" s="862"/>
      <c r="B50" s="275"/>
      <c r="C50" s="276" t="s">
        <v>90</v>
      </c>
      <c r="D50" s="371">
        <f t="shared" si="10"/>
        <v>7500</v>
      </c>
      <c r="E50" s="372"/>
      <c r="F50" s="372"/>
      <c r="G50" s="372"/>
      <c r="H50" s="356">
        <f>'4 месяца'!H50+май!H50</f>
        <v>7500</v>
      </c>
      <c r="I50" s="371"/>
      <c r="J50" s="277">
        <f t="shared" si="11"/>
        <v>2551.529</v>
      </c>
      <c r="K50" s="278"/>
      <c r="L50" s="278"/>
      <c r="M50" s="278"/>
      <c r="N50" s="356">
        <f>'4 месяца'!N50+май!N50</f>
        <v>2551.529</v>
      </c>
      <c r="O50" s="277"/>
    </row>
    <row r="51" spans="1:15" ht="13.5" thickTop="1" thickBot="1">
      <c r="A51" s="862"/>
      <c r="B51" s="275"/>
      <c r="C51" s="276" t="s">
        <v>91</v>
      </c>
      <c r="D51" s="371">
        <f t="shared" si="10"/>
        <v>0</v>
      </c>
      <c r="E51" s="372"/>
      <c r="F51" s="372"/>
      <c r="G51" s="372"/>
      <c r="H51" s="372"/>
      <c r="I51" s="371"/>
      <c r="J51" s="277">
        <f t="shared" si="11"/>
        <v>0</v>
      </c>
      <c r="K51" s="278"/>
      <c r="L51" s="278"/>
      <c r="M51" s="278"/>
      <c r="N51" s="278"/>
      <c r="O51" s="277"/>
    </row>
    <row r="52" spans="1:15" ht="13.5" thickTop="1" thickBot="1">
      <c r="A52" s="862"/>
      <c r="B52" s="263" t="s">
        <v>92</v>
      </c>
      <c r="C52" s="263" t="s">
        <v>93</v>
      </c>
      <c r="D52" s="367">
        <f t="shared" si="10"/>
        <v>0</v>
      </c>
      <c r="E52" s="367"/>
      <c r="F52" s="356">
        <f>'4 месяца'!F52+май!F52</f>
        <v>0</v>
      </c>
      <c r="G52" s="356">
        <f>'4 месяца'!G52+май!G52</f>
        <v>0</v>
      </c>
      <c r="H52" s="356">
        <f>'4 месяца'!H52+май!H52</f>
        <v>0</v>
      </c>
      <c r="I52" s="356">
        <f>'4 месяца'!I52+май!I52</f>
        <v>0</v>
      </c>
      <c r="J52" s="438">
        <f t="shared" si="11"/>
        <v>0</v>
      </c>
      <c r="K52" s="387"/>
      <c r="L52" s="356">
        <f>'4 месяца'!L52+май!L52</f>
        <v>0</v>
      </c>
      <c r="M52" s="356">
        <f>'4 месяца'!M52+май!M52</f>
        <v>0</v>
      </c>
      <c r="N52" s="356">
        <f>'4 месяца'!N52+май!N52</f>
        <v>0</v>
      </c>
      <c r="O52" s="356">
        <f>'4 месяца'!O52+май!O52</f>
        <v>0</v>
      </c>
    </row>
    <row r="53" spans="1:15" ht="13.5" thickTop="1" thickBot="1">
      <c r="A53" s="862"/>
      <c r="B53" s="263" t="s">
        <v>94</v>
      </c>
      <c r="C53" s="263" t="s">
        <v>95</v>
      </c>
      <c r="D53" s="374">
        <f t="shared" si="10"/>
        <v>107920</v>
      </c>
      <c r="E53" s="376"/>
      <c r="F53" s="376"/>
      <c r="G53" s="356">
        <f>'4 месяца'!G53+май!G53</f>
        <v>4619</v>
      </c>
      <c r="H53" s="356">
        <f>'4 месяца'!H53+май!H53</f>
        <v>103301</v>
      </c>
      <c r="I53" s="356">
        <f>'4 месяца'!I53+май!I53</f>
        <v>0</v>
      </c>
      <c r="J53" s="280">
        <f t="shared" si="11"/>
        <v>99383.335000000006</v>
      </c>
      <c r="K53" s="238"/>
      <c r="L53" s="238"/>
      <c r="M53" s="356">
        <f>'4 месяца'!M53+май!M53</f>
        <v>4500.5309999999999</v>
      </c>
      <c r="N53" s="356">
        <f>'4 месяца'!N53+май!N53</f>
        <v>94848.468000000008</v>
      </c>
      <c r="O53" s="356">
        <f>'4 месяца'!O53+май!O53</f>
        <v>34.335999999999999</v>
      </c>
    </row>
    <row r="54" spans="1:15" ht="13.5" thickTop="1" thickBot="1">
      <c r="A54" s="862"/>
      <c r="B54" s="275"/>
      <c r="C54" s="276" t="s">
        <v>89</v>
      </c>
      <c r="D54" s="371">
        <f t="shared" si="10"/>
        <v>5900</v>
      </c>
      <c r="E54" s="377"/>
      <c r="F54" s="377"/>
      <c r="G54" s="376"/>
      <c r="H54" s="356">
        <f>'4 месяца'!H54+май!H54</f>
        <v>5900</v>
      </c>
      <c r="I54" s="372"/>
      <c r="J54" s="277">
        <f t="shared" si="11"/>
        <v>22117.235000000001</v>
      </c>
      <c r="K54" s="282"/>
      <c r="L54" s="282"/>
      <c r="M54" s="238"/>
      <c r="N54" s="356">
        <f>'4 месяца'!N54+май!N54</f>
        <v>22117.235000000001</v>
      </c>
      <c r="O54" s="278"/>
    </row>
    <row r="55" spans="1:15" ht="13.5" thickTop="1" thickBot="1">
      <c r="A55" s="862"/>
      <c r="B55" s="275"/>
      <c r="C55" s="276" t="s">
        <v>90</v>
      </c>
      <c r="D55" s="371">
        <f t="shared" si="10"/>
        <v>0</v>
      </c>
      <c r="E55" s="372"/>
      <c r="F55" s="372"/>
      <c r="G55" s="372"/>
      <c r="H55" s="371"/>
      <c r="I55" s="371"/>
      <c r="J55" s="277">
        <f t="shared" si="11"/>
        <v>0</v>
      </c>
      <c r="K55" s="278"/>
      <c r="L55" s="278"/>
      <c r="M55" s="278"/>
      <c r="N55" s="277"/>
      <c r="O55" s="277"/>
    </row>
    <row r="56" spans="1:15" ht="13.5" thickTop="1" thickBot="1">
      <c r="A56" s="862"/>
      <c r="B56" s="275"/>
      <c r="C56" s="276" t="s">
        <v>91</v>
      </c>
      <c r="D56" s="371">
        <f t="shared" si="10"/>
        <v>0</v>
      </c>
      <c r="E56" s="372"/>
      <c r="F56" s="372"/>
      <c r="G56" s="372"/>
      <c r="H56" s="372"/>
      <c r="I56" s="371"/>
      <c r="J56" s="277">
        <f t="shared" si="11"/>
        <v>0</v>
      </c>
      <c r="K56" s="278"/>
      <c r="L56" s="278"/>
      <c r="M56" s="278"/>
      <c r="N56" s="278"/>
      <c r="O56" s="277"/>
    </row>
    <row r="57" spans="1:15" ht="13.5" thickTop="1" thickBot="1">
      <c r="A57" s="862"/>
      <c r="B57" s="263" t="s">
        <v>96</v>
      </c>
      <c r="C57" s="263" t="s">
        <v>97</v>
      </c>
      <c r="D57" s="367">
        <f t="shared" si="10"/>
        <v>3812</v>
      </c>
      <c r="E57" s="367"/>
      <c r="F57" s="367"/>
      <c r="G57" s="367"/>
      <c r="H57" s="356">
        <f>'4 месяца'!H57+май!H57</f>
        <v>3812</v>
      </c>
      <c r="I57" s="367"/>
      <c r="J57" s="265">
        <f t="shared" si="11"/>
        <v>3322.213835</v>
      </c>
      <c r="K57" s="265"/>
      <c r="L57" s="265"/>
      <c r="M57" s="265"/>
      <c r="N57" s="356">
        <f>'4 месяца'!N57+май!N57</f>
        <v>3322.213835</v>
      </c>
      <c r="O57" s="265"/>
    </row>
    <row r="58" spans="1:15" ht="13.5" thickTop="1" thickBot="1">
      <c r="A58" s="862"/>
      <c r="B58" s="263" t="s">
        <v>98</v>
      </c>
      <c r="C58" s="263" t="s">
        <v>99</v>
      </c>
      <c r="D58" s="367">
        <f t="shared" si="10"/>
        <v>15600</v>
      </c>
      <c r="E58" s="367"/>
      <c r="F58" s="367"/>
      <c r="G58" s="367"/>
      <c r="H58" s="323">
        <f>H12</f>
        <v>15600</v>
      </c>
      <c r="I58" s="367"/>
      <c r="J58" s="265">
        <f t="shared" si="11"/>
        <v>13773.059999999998</v>
      </c>
      <c r="K58" s="265"/>
      <c r="L58" s="265"/>
      <c r="M58" s="265"/>
      <c r="N58" s="283">
        <f>N12</f>
        <v>13773.059999999998</v>
      </c>
      <c r="O58" s="265"/>
    </row>
    <row r="59" spans="1:15" ht="13.5" thickTop="1" thickBot="1">
      <c r="A59" s="862"/>
      <c r="B59" s="204" t="s">
        <v>171</v>
      </c>
      <c r="C59" s="205" t="s">
        <v>190</v>
      </c>
      <c r="D59" s="325">
        <f t="shared" si="10"/>
        <v>14330</v>
      </c>
      <c r="E59" s="356">
        <f>'4 месяца'!E59+май!E59</f>
        <v>0</v>
      </c>
      <c r="F59" s="356">
        <f>'4 месяца'!F59+май!F59</f>
        <v>9860</v>
      </c>
      <c r="G59" s="284"/>
      <c r="H59" s="356">
        <f>'4 месяца'!H59+май!H59</f>
        <v>1780</v>
      </c>
      <c r="I59" s="356">
        <f>'4 месяца'!I59+май!I59</f>
        <v>2690</v>
      </c>
      <c r="J59" s="206">
        <f t="shared" si="11"/>
        <v>12502.63</v>
      </c>
      <c r="K59" s="356">
        <f>'4 месяца'!K59+май!K59</f>
        <v>0</v>
      </c>
      <c r="L59" s="356">
        <f>'4 месяца'!L59+май!L59</f>
        <v>7084.929000000001</v>
      </c>
      <c r="M59" s="214"/>
      <c r="N59" s="356">
        <f>'4 месяца'!N59+май!N59</f>
        <v>2377.1059999999998</v>
      </c>
      <c r="O59" s="356">
        <f>'4 месяца'!O59+май!O59</f>
        <v>3040.5949999999998</v>
      </c>
    </row>
    <row r="60" spans="1:15" ht="13.5" thickTop="1" thickBot="1">
      <c r="A60" s="862"/>
      <c r="B60" s="182" t="s">
        <v>172</v>
      </c>
      <c r="C60" s="182" t="s">
        <v>88</v>
      </c>
      <c r="D60" s="324">
        <f t="shared" si="10"/>
        <v>0</v>
      </c>
      <c r="E60" s="324"/>
      <c r="F60" s="324"/>
      <c r="G60" s="324"/>
      <c r="H60" s="324"/>
      <c r="I60" s="324"/>
      <c r="J60" s="196">
        <f t="shared" si="11"/>
        <v>0</v>
      </c>
      <c r="K60" s="196"/>
      <c r="L60" s="196"/>
      <c r="M60" s="196"/>
      <c r="N60" s="196"/>
      <c r="O60" s="196"/>
    </row>
    <row r="61" spans="1:15" ht="13.5" thickTop="1" thickBot="1">
      <c r="A61" s="862"/>
      <c r="B61" s="207"/>
      <c r="C61" s="208" t="s">
        <v>89</v>
      </c>
      <c r="D61" s="326">
        <f t="shared" si="10"/>
        <v>0</v>
      </c>
      <c r="E61" s="327"/>
      <c r="F61" s="327"/>
      <c r="G61" s="326"/>
      <c r="H61" s="326"/>
      <c r="I61" s="327"/>
      <c r="J61" s="209">
        <f t="shared" si="11"/>
        <v>0</v>
      </c>
      <c r="K61" s="210"/>
      <c r="L61" s="210"/>
      <c r="M61" s="381"/>
      <c r="N61" s="381"/>
      <c r="O61" s="210"/>
    </row>
    <row r="62" spans="1:15" ht="13.5" thickTop="1" thickBot="1">
      <c r="A62" s="862"/>
      <c r="B62" s="207"/>
      <c r="C62" s="208" t="s">
        <v>90</v>
      </c>
      <c r="D62" s="326">
        <f t="shared" si="10"/>
        <v>0</v>
      </c>
      <c r="E62" s="327"/>
      <c r="F62" s="327"/>
      <c r="G62" s="327"/>
      <c r="H62" s="326"/>
      <c r="I62" s="326"/>
      <c r="J62" s="209">
        <f t="shared" si="11"/>
        <v>0</v>
      </c>
      <c r="K62" s="210"/>
      <c r="L62" s="210"/>
      <c r="M62" s="382"/>
      <c r="N62" s="381"/>
      <c r="O62" s="209"/>
    </row>
    <row r="63" spans="1:15" ht="13.5" thickTop="1" thickBot="1">
      <c r="A63" s="862"/>
      <c r="B63" s="207"/>
      <c r="C63" s="208" t="s">
        <v>91</v>
      </c>
      <c r="D63" s="326">
        <f t="shared" si="10"/>
        <v>0</v>
      </c>
      <c r="E63" s="327"/>
      <c r="F63" s="327"/>
      <c r="G63" s="327"/>
      <c r="H63" s="327"/>
      <c r="I63" s="326"/>
      <c r="J63" s="209">
        <f t="shared" si="11"/>
        <v>0</v>
      </c>
      <c r="K63" s="210"/>
      <c r="L63" s="210"/>
      <c r="M63" s="210"/>
      <c r="N63" s="210"/>
      <c r="O63" s="209"/>
    </row>
    <row r="64" spans="1:15" ht="13.5" thickTop="1" thickBot="1">
      <c r="A64" s="862"/>
      <c r="B64" s="182" t="s">
        <v>173</v>
      </c>
      <c r="C64" s="182" t="s">
        <v>93</v>
      </c>
      <c r="D64" s="324">
        <f t="shared" si="10"/>
        <v>0</v>
      </c>
      <c r="E64" s="356">
        <f>'4 месяца'!E64+май!E64</f>
        <v>0</v>
      </c>
      <c r="F64" s="356">
        <f>'4 месяца'!F64+май!F64</f>
        <v>0</v>
      </c>
      <c r="G64" s="328"/>
      <c r="H64" s="328"/>
      <c r="I64" s="324"/>
      <c r="J64" s="463">
        <f t="shared" si="11"/>
        <v>0</v>
      </c>
      <c r="K64" s="356">
        <f>'4 месяца'!K64+май!K64</f>
        <v>0</v>
      </c>
      <c r="L64" s="356">
        <f>'4 месяца'!L64+май!L64</f>
        <v>0</v>
      </c>
      <c r="M64" s="211"/>
      <c r="N64" s="211"/>
      <c r="O64" s="196"/>
    </row>
    <row r="65" spans="1:15" ht="13.5" thickTop="1" thickBot="1">
      <c r="A65" s="862"/>
      <c r="B65" s="182" t="s">
        <v>174</v>
      </c>
      <c r="C65" s="182" t="s">
        <v>95</v>
      </c>
      <c r="D65" s="330">
        <f t="shared" si="10"/>
        <v>0</v>
      </c>
      <c r="E65" s="356">
        <f>'4 месяца'!E65+май!E65</f>
        <v>0</v>
      </c>
      <c r="F65" s="326"/>
      <c r="G65" s="326"/>
      <c r="H65" s="326"/>
      <c r="I65" s="324"/>
      <c r="J65" s="213">
        <f t="shared" si="11"/>
        <v>0</v>
      </c>
      <c r="K65" s="356">
        <f>'4 месяца'!K65+май!K65</f>
        <v>0</v>
      </c>
      <c r="L65" s="209"/>
      <c r="M65" s="209"/>
      <c r="N65" s="209"/>
      <c r="O65" s="196"/>
    </row>
    <row r="66" spans="1:15" ht="13.5" thickTop="1" thickBot="1">
      <c r="A66" s="862"/>
      <c r="B66" s="207"/>
      <c r="C66" s="208" t="s">
        <v>89</v>
      </c>
      <c r="D66" s="326">
        <f t="shared" si="10"/>
        <v>0</v>
      </c>
      <c r="E66" s="327"/>
      <c r="F66" s="327"/>
      <c r="G66" s="326"/>
      <c r="H66" s="326"/>
      <c r="I66" s="327"/>
      <c r="J66" s="209">
        <f t="shared" si="11"/>
        <v>0</v>
      </c>
      <c r="K66" s="210"/>
      <c r="L66" s="210"/>
      <c r="M66" s="209"/>
      <c r="N66" s="209"/>
      <c r="O66" s="210"/>
    </row>
    <row r="67" spans="1:15" ht="13.5" thickTop="1" thickBot="1">
      <c r="A67" s="862"/>
      <c r="B67" s="207"/>
      <c r="C67" s="208" t="s">
        <v>90</v>
      </c>
      <c r="D67" s="326">
        <f t="shared" si="10"/>
        <v>0</v>
      </c>
      <c r="E67" s="327"/>
      <c r="F67" s="327"/>
      <c r="G67" s="327"/>
      <c r="H67" s="326"/>
      <c r="I67" s="326"/>
      <c r="J67" s="209">
        <f t="shared" si="11"/>
        <v>0</v>
      </c>
      <c r="K67" s="210"/>
      <c r="L67" s="210"/>
      <c r="M67" s="210"/>
      <c r="N67" s="209"/>
      <c r="O67" s="209"/>
    </row>
    <row r="68" spans="1:15" ht="13.5" thickTop="1" thickBot="1">
      <c r="A68" s="862"/>
      <c r="B68" s="207"/>
      <c r="C68" s="208" t="s">
        <v>91</v>
      </c>
      <c r="D68" s="326">
        <f t="shared" si="10"/>
        <v>0</v>
      </c>
      <c r="E68" s="327"/>
      <c r="F68" s="327"/>
      <c r="G68" s="327"/>
      <c r="H68" s="327"/>
      <c r="I68" s="326"/>
      <c r="J68" s="209">
        <f t="shared" si="11"/>
        <v>0</v>
      </c>
      <c r="K68" s="210"/>
      <c r="L68" s="210"/>
      <c r="M68" s="210"/>
      <c r="N68" s="210"/>
      <c r="O68" s="209"/>
    </row>
    <row r="69" spans="1:15" ht="13.5" thickTop="1" thickBot="1">
      <c r="A69" s="862"/>
      <c r="B69" s="182" t="s">
        <v>176</v>
      </c>
      <c r="C69" s="182" t="s">
        <v>97</v>
      </c>
      <c r="D69" s="324">
        <f t="shared" si="10"/>
        <v>0</v>
      </c>
      <c r="E69" s="324"/>
      <c r="F69" s="324"/>
      <c r="G69" s="324"/>
      <c r="H69" s="323"/>
      <c r="I69" s="324"/>
      <c r="J69" s="196">
        <f t="shared" si="11"/>
        <v>0</v>
      </c>
      <c r="K69" s="196"/>
      <c r="L69" s="196"/>
      <c r="M69" s="196"/>
      <c r="N69" s="185"/>
      <c r="O69" s="196"/>
    </row>
    <row r="70" spans="1:15" ht="13.5" thickTop="1" thickBot="1">
      <c r="A70" s="862"/>
      <c r="B70" s="182" t="s">
        <v>175</v>
      </c>
      <c r="C70" s="182" t="s">
        <v>99</v>
      </c>
      <c r="D70" s="324">
        <f t="shared" si="10"/>
        <v>0</v>
      </c>
      <c r="E70" s="324"/>
      <c r="F70" s="324"/>
      <c r="G70" s="324"/>
      <c r="H70" s="323"/>
      <c r="I70" s="324"/>
      <c r="J70" s="196">
        <f t="shared" si="11"/>
        <v>0</v>
      </c>
      <c r="K70" s="196"/>
      <c r="L70" s="196"/>
      <c r="M70" s="196"/>
      <c r="N70" s="185"/>
      <c r="O70" s="196"/>
    </row>
    <row r="71" spans="1:15" ht="13.5" thickTop="1" thickBot="1">
      <c r="A71" s="862"/>
      <c r="B71" s="204" t="s">
        <v>177</v>
      </c>
      <c r="C71" s="205" t="s">
        <v>203</v>
      </c>
      <c r="D71" s="325">
        <f t="shared" si="10"/>
        <v>26780</v>
      </c>
      <c r="E71" s="284"/>
      <c r="F71" s="284"/>
      <c r="G71" s="356">
        <f>'4 месяца'!G71+май!G71</f>
        <v>14100</v>
      </c>
      <c r="H71" s="356">
        <f>'4 месяца'!H71+май!H71</f>
        <v>12680</v>
      </c>
      <c r="I71" s="284"/>
      <c r="J71" s="206">
        <f t="shared" si="11"/>
        <v>26109.965000000004</v>
      </c>
      <c r="K71" s="284"/>
      <c r="L71" s="284"/>
      <c r="M71" s="356">
        <f>'4 месяца'!M71+май!M71</f>
        <v>14989.750000000002</v>
      </c>
      <c r="N71" s="356">
        <f>'4 месяца'!N71+май!N71</f>
        <v>11120.215</v>
      </c>
      <c r="O71" s="214"/>
    </row>
    <row r="72" spans="1:15" ht="13.5" thickTop="1" thickBot="1">
      <c r="A72" s="862"/>
      <c r="B72" s="182" t="s">
        <v>178</v>
      </c>
      <c r="C72" s="182" t="s">
        <v>88</v>
      </c>
      <c r="D72" s="324">
        <f t="shared" si="10"/>
        <v>0</v>
      </c>
      <c r="E72" s="324"/>
      <c r="F72" s="324"/>
      <c r="G72" s="324"/>
      <c r="H72" s="324"/>
      <c r="I72" s="324"/>
      <c r="J72" s="196">
        <f t="shared" si="11"/>
        <v>0</v>
      </c>
      <c r="K72" s="196"/>
      <c r="L72" s="196"/>
      <c r="M72" s="265"/>
      <c r="N72" s="265"/>
      <c r="O72" s="196"/>
    </row>
    <row r="73" spans="1:15" ht="13.5" thickTop="1" thickBot="1">
      <c r="A73" s="862"/>
      <c r="B73" s="207"/>
      <c r="C73" s="208" t="s">
        <v>89</v>
      </c>
      <c r="D73" s="326">
        <f t="shared" si="10"/>
        <v>12077</v>
      </c>
      <c r="E73" s="327"/>
      <c r="F73" s="327"/>
      <c r="G73" s="356">
        <f>'4 месяца'!G73+май!G73</f>
        <v>3562</v>
      </c>
      <c r="H73" s="356">
        <f>'4 месяца'!H73+май!H73</f>
        <v>8515</v>
      </c>
      <c r="I73" s="327"/>
      <c r="J73" s="209">
        <f t="shared" si="11"/>
        <v>10125.929000000002</v>
      </c>
      <c r="K73" s="210"/>
      <c r="L73" s="210"/>
      <c r="M73" s="356">
        <f>'4 месяца'!M73+май!M73</f>
        <v>2780.023000000001</v>
      </c>
      <c r="N73" s="356">
        <f>'4 месяца'!N73+май!N73</f>
        <v>7345.9060000000009</v>
      </c>
      <c r="O73" s="210"/>
    </row>
    <row r="74" spans="1:15" ht="13.5" thickTop="1" thickBot="1">
      <c r="A74" s="862"/>
      <c r="B74" s="207"/>
      <c r="C74" s="208" t="s">
        <v>90</v>
      </c>
      <c r="D74" s="326">
        <f t="shared" si="10"/>
        <v>0</v>
      </c>
      <c r="E74" s="327"/>
      <c r="F74" s="327"/>
      <c r="G74" s="327"/>
      <c r="H74" s="326"/>
      <c r="I74" s="326"/>
      <c r="J74" s="209">
        <f t="shared" si="11"/>
        <v>0</v>
      </c>
      <c r="K74" s="210"/>
      <c r="L74" s="210"/>
      <c r="M74" s="210"/>
      <c r="N74" s="320"/>
      <c r="O74" s="209"/>
    </row>
    <row r="75" spans="1:15" ht="13.5" thickTop="1" thickBot="1">
      <c r="A75" s="862"/>
      <c r="B75" s="207"/>
      <c r="C75" s="208" t="s">
        <v>91</v>
      </c>
      <c r="D75" s="326">
        <f t="shared" si="10"/>
        <v>0</v>
      </c>
      <c r="E75" s="327"/>
      <c r="F75" s="327"/>
      <c r="G75" s="327"/>
      <c r="H75" s="327"/>
      <c r="I75" s="326"/>
      <c r="J75" s="209">
        <f t="shared" si="11"/>
        <v>0</v>
      </c>
      <c r="K75" s="210"/>
      <c r="L75" s="210"/>
      <c r="M75" s="210"/>
      <c r="N75" s="210"/>
      <c r="O75" s="209"/>
    </row>
    <row r="76" spans="1:15" ht="13.5" thickTop="1" thickBot="1">
      <c r="A76" s="862"/>
      <c r="B76" s="182" t="s">
        <v>179</v>
      </c>
      <c r="C76" s="182" t="s">
        <v>93</v>
      </c>
      <c r="D76" s="324">
        <f t="shared" si="10"/>
        <v>0</v>
      </c>
      <c r="E76" s="324"/>
      <c r="F76" s="324"/>
      <c r="G76" s="328"/>
      <c r="H76" s="328"/>
      <c r="I76" s="324"/>
      <c r="J76" s="196">
        <f t="shared" si="11"/>
        <v>0</v>
      </c>
      <c r="K76" s="196"/>
      <c r="L76" s="196"/>
      <c r="M76" s="211"/>
      <c r="N76" s="211"/>
      <c r="O76" s="196"/>
    </row>
    <row r="77" spans="1:15" ht="13.5" thickTop="1" thickBot="1">
      <c r="A77" s="862"/>
      <c r="B77" s="182" t="s">
        <v>180</v>
      </c>
      <c r="C77" s="182" t="s">
        <v>95</v>
      </c>
      <c r="D77" s="330">
        <f t="shared" si="10"/>
        <v>0</v>
      </c>
      <c r="E77" s="380"/>
      <c r="F77" s="326"/>
      <c r="G77" s="356"/>
      <c r="H77" s="356"/>
      <c r="I77" s="324"/>
      <c r="J77" s="213"/>
      <c r="K77" s="383"/>
      <c r="L77" s="209"/>
      <c r="M77" s="356"/>
      <c r="N77" s="356"/>
      <c r="O77" s="196"/>
    </row>
    <row r="78" spans="1:15" ht="13.5" thickTop="1" thickBot="1">
      <c r="A78" s="862"/>
      <c r="B78" s="207"/>
      <c r="C78" s="208" t="s">
        <v>89</v>
      </c>
      <c r="D78" s="326">
        <f t="shared" ref="D78:D147" si="12">SUM(E78:I78)</f>
        <v>14703</v>
      </c>
      <c r="E78" s="327"/>
      <c r="F78" s="327"/>
      <c r="G78" s="356">
        <f>'4 месяца'!G78+май!G78</f>
        <v>10538</v>
      </c>
      <c r="H78" s="356">
        <f>'4 месяца'!H78+май!H78</f>
        <v>4165</v>
      </c>
      <c r="I78" s="327"/>
      <c r="J78" s="209">
        <f t="shared" ref="J78:J147" si="13">SUM(K78:O78)</f>
        <v>15984.036</v>
      </c>
      <c r="K78" s="210"/>
      <c r="L78" s="210"/>
      <c r="M78" s="356">
        <f>'4 месяца'!M78+май!M78</f>
        <v>12209.726999999999</v>
      </c>
      <c r="N78" s="356">
        <f>'4 месяца'!N78+май!N78</f>
        <v>3774.3090000000002</v>
      </c>
      <c r="O78" s="210"/>
    </row>
    <row r="79" spans="1:15" ht="13.5" thickTop="1" thickBot="1">
      <c r="A79" s="862"/>
      <c r="B79" s="207"/>
      <c r="C79" s="208" t="s">
        <v>90</v>
      </c>
      <c r="D79" s="326">
        <f t="shared" si="12"/>
        <v>0</v>
      </c>
      <c r="E79" s="327"/>
      <c r="F79" s="327"/>
      <c r="G79" s="327"/>
      <c r="H79" s="326"/>
      <c r="I79" s="326"/>
      <c r="J79" s="209">
        <f t="shared" si="13"/>
        <v>0</v>
      </c>
      <c r="K79" s="210"/>
      <c r="L79" s="210"/>
      <c r="M79" s="210"/>
      <c r="N79" s="209"/>
      <c r="O79" s="209"/>
    </row>
    <row r="80" spans="1:15" ht="13.5" thickTop="1" thickBot="1">
      <c r="A80" s="862"/>
      <c r="B80" s="207"/>
      <c r="C80" s="208" t="s">
        <v>91</v>
      </c>
      <c r="D80" s="326">
        <f t="shared" si="12"/>
        <v>0</v>
      </c>
      <c r="E80" s="327"/>
      <c r="F80" s="327"/>
      <c r="G80" s="327"/>
      <c r="H80" s="327"/>
      <c r="I80" s="326"/>
      <c r="J80" s="209">
        <f t="shared" si="13"/>
        <v>0</v>
      </c>
      <c r="K80" s="210"/>
      <c r="L80" s="210"/>
      <c r="M80" s="210"/>
      <c r="N80" s="210"/>
      <c r="O80" s="209"/>
    </row>
    <row r="81" spans="1:15" ht="13.5" thickTop="1" thickBot="1">
      <c r="A81" s="862"/>
      <c r="B81" s="182" t="s">
        <v>181</v>
      </c>
      <c r="C81" s="182" t="s">
        <v>97</v>
      </c>
      <c r="D81" s="324">
        <f t="shared" si="12"/>
        <v>0</v>
      </c>
      <c r="E81" s="324"/>
      <c r="F81" s="324"/>
      <c r="G81" s="324"/>
      <c r="H81" s="323"/>
      <c r="I81" s="324"/>
      <c r="J81" s="196">
        <f t="shared" si="13"/>
        <v>0</v>
      </c>
      <c r="K81" s="196"/>
      <c r="L81" s="196"/>
      <c r="M81" s="196"/>
      <c r="N81" s="185"/>
      <c r="O81" s="196"/>
    </row>
    <row r="82" spans="1:15" ht="13.5" thickTop="1" thickBot="1">
      <c r="A82" s="862"/>
      <c r="B82" s="182" t="s">
        <v>182</v>
      </c>
      <c r="C82" s="182" t="s">
        <v>99</v>
      </c>
      <c r="D82" s="324">
        <f t="shared" si="12"/>
        <v>0</v>
      </c>
      <c r="E82" s="324"/>
      <c r="F82" s="324"/>
      <c r="G82" s="324"/>
      <c r="H82" s="323"/>
      <c r="I82" s="324"/>
      <c r="J82" s="196">
        <f t="shared" si="13"/>
        <v>0</v>
      </c>
      <c r="K82" s="196"/>
      <c r="L82" s="196"/>
      <c r="M82" s="196"/>
      <c r="N82" s="185"/>
      <c r="O82" s="196"/>
    </row>
    <row r="83" spans="1:15" ht="13.5" thickTop="1" thickBot="1">
      <c r="A83" s="862"/>
      <c r="B83" s="204" t="s">
        <v>183</v>
      </c>
      <c r="C83" s="205" t="s">
        <v>189</v>
      </c>
      <c r="D83" s="325">
        <f t="shared" si="12"/>
        <v>338210</v>
      </c>
      <c r="E83" s="284"/>
      <c r="F83" s="356">
        <f>'4 месяца'!F83+май!F83</f>
        <v>338210</v>
      </c>
      <c r="G83" s="284"/>
      <c r="H83" s="284"/>
      <c r="I83" s="284"/>
      <c r="J83" s="206">
        <f t="shared" si="13"/>
        <v>315732.39999999997</v>
      </c>
      <c r="K83" s="284"/>
      <c r="L83" s="356">
        <f>'4 месяца'!L83+май!L83</f>
        <v>315732.39999999997</v>
      </c>
      <c r="M83" s="214"/>
      <c r="N83" s="214"/>
      <c r="O83" s="214"/>
    </row>
    <row r="84" spans="1:15" ht="13.5" thickTop="1" thickBot="1">
      <c r="A84" s="862"/>
      <c r="B84" s="182" t="s">
        <v>184</v>
      </c>
      <c r="C84" s="182" t="s">
        <v>88</v>
      </c>
      <c r="D84" s="324">
        <f t="shared" si="12"/>
        <v>0</v>
      </c>
      <c r="E84" s="324"/>
      <c r="F84" s="324"/>
      <c r="G84" s="324"/>
      <c r="H84" s="324"/>
      <c r="I84" s="324"/>
      <c r="J84" s="196">
        <f t="shared" si="13"/>
        <v>0</v>
      </c>
      <c r="K84" s="196"/>
      <c r="L84" s="196"/>
      <c r="M84" s="196"/>
      <c r="N84" s="196"/>
      <c r="O84" s="196"/>
    </row>
    <row r="85" spans="1:15" ht="13.5" thickTop="1" thickBot="1">
      <c r="A85" s="862"/>
      <c r="B85" s="207"/>
      <c r="C85" s="208" t="s">
        <v>89</v>
      </c>
      <c r="D85" s="326">
        <f t="shared" si="12"/>
        <v>0</v>
      </c>
      <c r="E85" s="327"/>
      <c r="F85" s="327"/>
      <c r="G85" s="326"/>
      <c r="H85" s="326"/>
      <c r="I85" s="327"/>
      <c r="J85" s="209">
        <f t="shared" si="13"/>
        <v>0</v>
      </c>
      <c r="K85" s="210"/>
      <c r="L85" s="210"/>
      <c r="M85" s="209"/>
      <c r="N85" s="209"/>
      <c r="O85" s="210"/>
    </row>
    <row r="86" spans="1:15" ht="13.5" thickTop="1" thickBot="1">
      <c r="A86" s="862"/>
      <c r="B86" s="207"/>
      <c r="C86" s="208" t="s">
        <v>90</v>
      </c>
      <c r="D86" s="326">
        <f t="shared" si="12"/>
        <v>0</v>
      </c>
      <c r="E86" s="327"/>
      <c r="F86" s="327"/>
      <c r="G86" s="327"/>
      <c r="H86" s="326"/>
      <c r="I86" s="326"/>
      <c r="J86" s="209">
        <f t="shared" si="13"/>
        <v>0</v>
      </c>
      <c r="K86" s="210"/>
      <c r="L86" s="210"/>
      <c r="M86" s="210"/>
      <c r="N86" s="209"/>
      <c r="O86" s="209"/>
    </row>
    <row r="87" spans="1:15" ht="13.5" thickTop="1" thickBot="1">
      <c r="A87" s="862"/>
      <c r="B87" s="207"/>
      <c r="C87" s="208" t="s">
        <v>91</v>
      </c>
      <c r="D87" s="326">
        <f t="shared" si="12"/>
        <v>0</v>
      </c>
      <c r="E87" s="327"/>
      <c r="F87" s="327"/>
      <c r="G87" s="327"/>
      <c r="H87" s="327"/>
      <c r="I87" s="326"/>
      <c r="J87" s="209">
        <f t="shared" si="13"/>
        <v>0</v>
      </c>
      <c r="K87" s="210"/>
      <c r="L87" s="210"/>
      <c r="M87" s="210"/>
      <c r="N87" s="210"/>
      <c r="O87" s="209"/>
    </row>
    <row r="88" spans="1:15" ht="13.5" thickTop="1" thickBot="1">
      <c r="A88" s="862"/>
      <c r="B88" s="182" t="s">
        <v>185</v>
      </c>
      <c r="C88" s="182" t="s">
        <v>93</v>
      </c>
      <c r="D88" s="324">
        <f t="shared" si="12"/>
        <v>0</v>
      </c>
      <c r="E88" s="324"/>
      <c r="F88" s="324"/>
      <c r="G88" s="328"/>
      <c r="H88" s="328"/>
      <c r="I88" s="324"/>
      <c r="J88" s="196">
        <f t="shared" si="13"/>
        <v>0</v>
      </c>
      <c r="K88" s="196"/>
      <c r="L88" s="196"/>
      <c r="M88" s="211"/>
      <c r="N88" s="211"/>
      <c r="O88" s="196"/>
    </row>
    <row r="89" spans="1:15" ht="13.5" thickTop="1" thickBot="1">
      <c r="A89" s="862"/>
      <c r="B89" s="182" t="s">
        <v>186</v>
      </c>
      <c r="C89" s="182" t="s">
        <v>95</v>
      </c>
      <c r="D89" s="330">
        <f t="shared" si="12"/>
        <v>146478</v>
      </c>
      <c r="E89" s="380"/>
      <c r="F89" s="356">
        <f>'4 месяца'!F89+май!F89</f>
        <v>146478</v>
      </c>
      <c r="G89" s="326"/>
      <c r="H89" s="326"/>
      <c r="I89" s="324"/>
      <c r="J89" s="213">
        <f t="shared" si="13"/>
        <v>122212.20000000001</v>
      </c>
      <c r="K89" s="383"/>
      <c r="L89" s="356">
        <f>'4 месяца'!L89+май!L89</f>
        <v>122212.20000000001</v>
      </c>
      <c r="M89" s="209"/>
      <c r="N89" s="209"/>
      <c r="O89" s="196"/>
    </row>
    <row r="90" spans="1:15" ht="13.5" thickTop="1" thickBot="1">
      <c r="A90" s="862"/>
      <c r="B90" s="207"/>
      <c r="C90" s="208" t="s">
        <v>89</v>
      </c>
      <c r="D90" s="326">
        <f t="shared" si="12"/>
        <v>0</v>
      </c>
      <c r="E90" s="327"/>
      <c r="F90" s="327"/>
      <c r="G90" s="326"/>
      <c r="H90" s="326"/>
      <c r="I90" s="327"/>
      <c r="J90" s="209">
        <f t="shared" si="13"/>
        <v>0</v>
      </c>
      <c r="K90" s="210"/>
      <c r="L90" s="210"/>
      <c r="M90" s="209"/>
      <c r="N90" s="209"/>
      <c r="O90" s="210"/>
    </row>
    <row r="91" spans="1:15" ht="13.5" thickTop="1" thickBot="1">
      <c r="A91" s="862"/>
      <c r="B91" s="207"/>
      <c r="C91" s="208" t="s">
        <v>90</v>
      </c>
      <c r="D91" s="326">
        <f t="shared" si="12"/>
        <v>0</v>
      </c>
      <c r="E91" s="327"/>
      <c r="F91" s="327"/>
      <c r="G91" s="327"/>
      <c r="H91" s="326"/>
      <c r="I91" s="326"/>
      <c r="J91" s="209">
        <f t="shared" si="13"/>
        <v>0</v>
      </c>
      <c r="K91" s="210"/>
      <c r="L91" s="210"/>
      <c r="M91" s="210"/>
      <c r="N91" s="209"/>
      <c r="O91" s="209"/>
    </row>
    <row r="92" spans="1:15" ht="13.5" thickTop="1" thickBot="1">
      <c r="A92" s="862"/>
      <c r="B92" s="207"/>
      <c r="C92" s="208" t="s">
        <v>91</v>
      </c>
      <c r="D92" s="326">
        <f t="shared" si="12"/>
        <v>0</v>
      </c>
      <c r="E92" s="327"/>
      <c r="F92" s="327"/>
      <c r="G92" s="327"/>
      <c r="H92" s="327"/>
      <c r="I92" s="326"/>
      <c r="J92" s="209">
        <f t="shared" si="13"/>
        <v>0</v>
      </c>
      <c r="K92" s="210"/>
      <c r="L92" s="210"/>
      <c r="M92" s="210"/>
      <c r="N92" s="210"/>
      <c r="O92" s="209"/>
    </row>
    <row r="93" spans="1:15" ht="13.5" thickTop="1" thickBot="1">
      <c r="A93" s="862"/>
      <c r="B93" s="182" t="s">
        <v>187</v>
      </c>
      <c r="C93" s="182" t="s">
        <v>97</v>
      </c>
      <c r="D93" s="324">
        <f t="shared" si="12"/>
        <v>0</v>
      </c>
      <c r="E93" s="324"/>
      <c r="F93" s="324"/>
      <c r="G93" s="324"/>
      <c r="H93" s="323"/>
      <c r="I93" s="324"/>
      <c r="J93" s="196">
        <f t="shared" si="13"/>
        <v>0</v>
      </c>
      <c r="K93" s="196"/>
      <c r="L93" s="196"/>
      <c r="M93" s="196"/>
      <c r="N93" s="185"/>
      <c r="O93" s="196"/>
    </row>
    <row r="94" spans="1:15" ht="13.5" thickTop="1" thickBot="1">
      <c r="A94" s="862"/>
      <c r="B94" s="182" t="s">
        <v>188</v>
      </c>
      <c r="C94" s="182" t="s">
        <v>99</v>
      </c>
      <c r="D94" s="324">
        <f t="shared" si="12"/>
        <v>0</v>
      </c>
      <c r="E94" s="324"/>
      <c r="F94" s="324"/>
      <c r="G94" s="324"/>
      <c r="H94" s="323"/>
      <c r="I94" s="324"/>
      <c r="J94" s="196">
        <f t="shared" si="13"/>
        <v>0</v>
      </c>
      <c r="K94" s="196"/>
      <c r="L94" s="196"/>
      <c r="M94" s="196"/>
      <c r="N94" s="196"/>
      <c r="O94" s="196"/>
    </row>
    <row r="95" spans="1:15" ht="13.5" thickTop="1" thickBot="1">
      <c r="A95" s="862"/>
      <c r="B95" s="204" t="s">
        <v>197</v>
      </c>
      <c r="C95" s="595" t="s">
        <v>204</v>
      </c>
      <c r="D95" s="325">
        <f t="shared" ref="D95:D106" si="14">SUM(E95:I95)</f>
        <v>24890</v>
      </c>
      <c r="E95" s="284"/>
      <c r="F95" s="325"/>
      <c r="G95" s="284"/>
      <c r="H95" s="356">
        <f>'4 месяца'!H95+май!H95</f>
        <v>24890</v>
      </c>
      <c r="I95" s="284"/>
      <c r="J95" s="206">
        <f t="shared" ref="J95:J106" si="15">SUM(K95:O95)</f>
        <v>12955.245000000001</v>
      </c>
      <c r="K95" s="284"/>
      <c r="L95" s="325"/>
      <c r="M95" s="214"/>
      <c r="N95" s="356">
        <f>'4 месяца'!N95+май!N95</f>
        <v>12955.245000000001</v>
      </c>
      <c r="O95" s="214"/>
    </row>
    <row r="96" spans="1:15" ht="13.5" thickTop="1" thickBot="1">
      <c r="A96" s="862"/>
      <c r="B96" s="182" t="s">
        <v>198</v>
      </c>
      <c r="C96" s="182" t="s">
        <v>88</v>
      </c>
      <c r="D96" s="324">
        <f t="shared" si="14"/>
        <v>0</v>
      </c>
      <c r="E96" s="324"/>
      <c r="F96" s="324"/>
      <c r="G96" s="324"/>
      <c r="H96" s="324"/>
      <c r="I96" s="324"/>
      <c r="J96" s="196">
        <f t="shared" si="15"/>
        <v>0</v>
      </c>
      <c r="K96" s="196"/>
      <c r="L96" s="196"/>
      <c r="M96" s="196"/>
      <c r="N96" s="196"/>
      <c r="O96" s="196"/>
    </row>
    <row r="97" spans="1:15" ht="13.5" thickTop="1" thickBot="1">
      <c r="A97" s="862"/>
      <c r="B97" s="207"/>
      <c r="C97" s="208" t="s">
        <v>89</v>
      </c>
      <c r="D97" s="326">
        <f t="shared" si="14"/>
        <v>9050</v>
      </c>
      <c r="E97" s="327"/>
      <c r="F97" s="327"/>
      <c r="G97" s="326"/>
      <c r="H97" s="356">
        <f>'4 месяца'!H97+май!H97</f>
        <v>9050</v>
      </c>
      <c r="I97" s="327"/>
      <c r="J97" s="209">
        <f t="shared" si="15"/>
        <v>2058.232</v>
      </c>
      <c r="K97" s="210"/>
      <c r="L97" s="210"/>
      <c r="M97" s="209"/>
      <c r="N97" s="356">
        <f>'4 месяца'!N97+май!N97</f>
        <v>2058.232</v>
      </c>
      <c r="O97" s="210"/>
    </row>
    <row r="98" spans="1:15" ht="13.5" thickTop="1" thickBot="1">
      <c r="A98" s="862"/>
      <c r="B98" s="207"/>
      <c r="C98" s="208" t="s">
        <v>90</v>
      </c>
      <c r="D98" s="326">
        <f t="shared" si="14"/>
        <v>9070</v>
      </c>
      <c r="E98" s="327"/>
      <c r="F98" s="327"/>
      <c r="G98" s="327"/>
      <c r="H98" s="356">
        <f>'4 месяца'!H98+май!H98</f>
        <v>9070</v>
      </c>
      <c r="I98" s="326"/>
      <c r="J98" s="209">
        <f t="shared" si="15"/>
        <v>3930.8849999999998</v>
      </c>
      <c r="K98" s="210"/>
      <c r="L98" s="210"/>
      <c r="M98" s="210"/>
      <c r="N98" s="356">
        <f>'4 месяца'!N98+май!N98</f>
        <v>3930.8849999999998</v>
      </c>
      <c r="O98" s="209"/>
    </row>
    <row r="99" spans="1:15" ht="13.5" thickTop="1" thickBot="1">
      <c r="A99" s="862"/>
      <c r="B99" s="207"/>
      <c r="C99" s="208" t="s">
        <v>91</v>
      </c>
      <c r="D99" s="326">
        <f t="shared" si="14"/>
        <v>0</v>
      </c>
      <c r="E99" s="327"/>
      <c r="F99" s="327"/>
      <c r="G99" s="327"/>
      <c r="H99" s="327"/>
      <c r="I99" s="326"/>
      <c r="J99" s="209">
        <f t="shared" si="15"/>
        <v>0</v>
      </c>
      <c r="K99" s="210"/>
      <c r="L99" s="210"/>
      <c r="M99" s="210"/>
      <c r="N99" s="210"/>
      <c r="O99" s="209"/>
    </row>
    <row r="100" spans="1:15" ht="13.5" thickTop="1" thickBot="1">
      <c r="A100" s="862"/>
      <c r="B100" s="182" t="s">
        <v>199</v>
      </c>
      <c r="C100" s="182" t="s">
        <v>93</v>
      </c>
      <c r="D100" s="324">
        <f t="shared" si="14"/>
        <v>0</v>
      </c>
      <c r="E100" s="324"/>
      <c r="F100" s="324"/>
      <c r="G100" s="328"/>
      <c r="H100" s="328"/>
      <c r="I100" s="324"/>
      <c r="J100" s="196">
        <f t="shared" si="15"/>
        <v>0</v>
      </c>
      <c r="K100" s="196"/>
      <c r="L100" s="196"/>
      <c r="M100" s="211"/>
      <c r="N100" s="356">
        <f>'4 месяца'!N100+май!N100</f>
        <v>0</v>
      </c>
      <c r="O100" s="196"/>
    </row>
    <row r="101" spans="1:15" ht="13.5" thickTop="1" thickBot="1">
      <c r="A101" s="862"/>
      <c r="B101" s="182" t="s">
        <v>200</v>
      </c>
      <c r="C101" s="182" t="s">
        <v>95</v>
      </c>
      <c r="D101" s="330">
        <f t="shared" si="14"/>
        <v>0</v>
      </c>
      <c r="E101" s="380"/>
      <c r="F101" s="331"/>
      <c r="G101" s="326"/>
      <c r="H101" s="326"/>
      <c r="I101" s="324"/>
      <c r="J101" s="213">
        <f t="shared" si="15"/>
        <v>0</v>
      </c>
      <c r="K101" s="383"/>
      <c r="L101" s="320"/>
      <c r="M101" s="209"/>
      <c r="N101" s="209"/>
      <c r="O101" s="196"/>
    </row>
    <row r="102" spans="1:15" ht="13.5" thickTop="1" thickBot="1">
      <c r="A102" s="862"/>
      <c r="B102" s="207"/>
      <c r="C102" s="208" t="s">
        <v>89</v>
      </c>
      <c r="D102" s="326">
        <f t="shared" si="14"/>
        <v>0</v>
      </c>
      <c r="E102" s="327"/>
      <c r="F102" s="327"/>
      <c r="G102" s="326"/>
      <c r="H102" s="326"/>
      <c r="I102" s="327"/>
      <c r="J102" s="209">
        <f t="shared" si="15"/>
        <v>0</v>
      </c>
      <c r="K102" s="210"/>
      <c r="L102" s="210"/>
      <c r="M102" s="209"/>
      <c r="N102" s="209"/>
      <c r="O102" s="210"/>
    </row>
    <row r="103" spans="1:15" ht="13.5" thickTop="1" thickBot="1">
      <c r="A103" s="862"/>
      <c r="B103" s="207"/>
      <c r="C103" s="208" t="s">
        <v>90</v>
      </c>
      <c r="D103" s="326">
        <f t="shared" si="14"/>
        <v>0</v>
      </c>
      <c r="E103" s="327"/>
      <c r="F103" s="327"/>
      <c r="G103" s="327"/>
      <c r="H103" s="326"/>
      <c r="I103" s="326"/>
      <c r="J103" s="209">
        <f t="shared" si="15"/>
        <v>0</v>
      </c>
      <c r="K103" s="210"/>
      <c r="L103" s="210"/>
      <c r="M103" s="210"/>
      <c r="N103" s="209"/>
      <c r="O103" s="209"/>
    </row>
    <row r="104" spans="1:15" ht="13.5" thickTop="1" thickBot="1">
      <c r="A104" s="862"/>
      <c r="B104" s="207"/>
      <c r="C104" s="208" t="s">
        <v>91</v>
      </c>
      <c r="D104" s="326">
        <f t="shared" si="14"/>
        <v>0</v>
      </c>
      <c r="E104" s="327"/>
      <c r="F104" s="327"/>
      <c r="G104" s="327"/>
      <c r="H104" s="327"/>
      <c r="I104" s="326"/>
      <c r="J104" s="209">
        <f t="shared" si="15"/>
        <v>0</v>
      </c>
      <c r="K104" s="210"/>
      <c r="L104" s="210"/>
      <c r="M104" s="210"/>
      <c r="N104" s="210"/>
      <c r="O104" s="209"/>
    </row>
    <row r="105" spans="1:15" ht="13.5" thickTop="1" thickBot="1">
      <c r="A105" s="862"/>
      <c r="B105" s="182" t="s">
        <v>201</v>
      </c>
      <c r="C105" s="182" t="s">
        <v>97</v>
      </c>
      <c r="D105" s="324">
        <f t="shared" si="14"/>
        <v>0</v>
      </c>
      <c r="E105" s="324"/>
      <c r="F105" s="324"/>
      <c r="G105" s="324"/>
      <c r="H105" s="323"/>
      <c r="I105" s="324"/>
      <c r="J105" s="196">
        <f t="shared" si="15"/>
        <v>0</v>
      </c>
      <c r="K105" s="196"/>
      <c r="L105" s="196"/>
      <c r="M105" s="196"/>
      <c r="N105" s="185"/>
      <c r="O105" s="196"/>
    </row>
    <row r="106" spans="1:15" ht="13.5" thickTop="1" thickBot="1">
      <c r="A106" s="862"/>
      <c r="B106" s="182" t="s">
        <v>202</v>
      </c>
      <c r="C106" s="182" t="s">
        <v>99</v>
      </c>
      <c r="D106" s="324">
        <f t="shared" si="14"/>
        <v>0</v>
      </c>
      <c r="E106" s="324"/>
      <c r="F106" s="324"/>
      <c r="G106" s="324"/>
      <c r="H106" s="323"/>
      <c r="I106" s="324"/>
      <c r="J106" s="196">
        <f t="shared" si="15"/>
        <v>0</v>
      </c>
      <c r="K106" s="196"/>
      <c r="L106" s="196"/>
      <c r="M106" s="196"/>
      <c r="N106" s="196"/>
      <c r="O106" s="196"/>
    </row>
    <row r="107" spans="1:15" ht="13.5" thickTop="1" thickBot="1">
      <c r="A107" s="862"/>
      <c r="B107" s="204" t="s">
        <v>234</v>
      </c>
      <c r="C107" s="595" t="s">
        <v>235</v>
      </c>
      <c r="D107" s="325">
        <f t="shared" ref="D107:D118" si="16">SUM(E107:I107)</f>
        <v>0</v>
      </c>
      <c r="E107" s="284"/>
      <c r="F107" s="325"/>
      <c r="G107" s="284"/>
      <c r="H107" s="356">
        <f>'4 месяца'!H107+май!H107</f>
        <v>0</v>
      </c>
      <c r="I107" s="284"/>
      <c r="J107" s="206">
        <f t="shared" ref="J107:J118" si="17">SUM(K107:O107)</f>
        <v>1780.7180000000001</v>
      </c>
      <c r="K107" s="284"/>
      <c r="L107" s="325"/>
      <c r="M107" s="214"/>
      <c r="N107" s="356">
        <f>'4 месяца'!N107+май!N107</f>
        <v>1780.7180000000001</v>
      </c>
      <c r="O107" s="214"/>
    </row>
    <row r="108" spans="1:15" ht="13.5" thickTop="1" thickBot="1">
      <c r="A108" s="862"/>
      <c r="B108" s="182" t="s">
        <v>236</v>
      </c>
      <c r="C108" s="182" t="s">
        <v>88</v>
      </c>
      <c r="D108" s="324">
        <f t="shared" si="16"/>
        <v>0</v>
      </c>
      <c r="E108" s="324"/>
      <c r="F108" s="324"/>
      <c r="G108" s="324"/>
      <c r="H108" s="324"/>
      <c r="I108" s="324"/>
      <c r="J108" s="196">
        <f t="shared" si="17"/>
        <v>0</v>
      </c>
      <c r="K108" s="196"/>
      <c r="L108" s="196"/>
      <c r="M108" s="196"/>
      <c r="N108" s="196"/>
      <c r="O108" s="196"/>
    </row>
    <row r="109" spans="1:15" ht="13.5" thickTop="1" thickBot="1">
      <c r="A109" s="862"/>
      <c r="B109" s="207"/>
      <c r="C109" s="208" t="s">
        <v>89</v>
      </c>
      <c r="D109" s="326">
        <f t="shared" si="16"/>
        <v>0</v>
      </c>
      <c r="E109" s="327"/>
      <c r="F109" s="327"/>
      <c r="G109" s="326"/>
      <c r="H109" s="356">
        <f>'4 месяца'!H109+май!H109</f>
        <v>0</v>
      </c>
      <c r="I109" s="327"/>
      <c r="J109" s="209">
        <f t="shared" si="17"/>
        <v>1780.7180000000001</v>
      </c>
      <c r="K109" s="210"/>
      <c r="L109" s="210"/>
      <c r="M109" s="209"/>
      <c r="N109" s="356">
        <f>'4 месяца'!N109+май!N109</f>
        <v>1780.7180000000001</v>
      </c>
      <c r="O109" s="210"/>
    </row>
    <row r="110" spans="1:15" ht="13.5" thickTop="1" thickBot="1">
      <c r="A110" s="862"/>
      <c r="B110" s="207"/>
      <c r="C110" s="208" t="s">
        <v>90</v>
      </c>
      <c r="D110" s="326">
        <f t="shared" si="16"/>
        <v>0</v>
      </c>
      <c r="E110" s="327"/>
      <c r="F110" s="327"/>
      <c r="G110" s="327"/>
      <c r="H110" s="339"/>
      <c r="I110" s="326"/>
      <c r="J110" s="209">
        <f t="shared" si="17"/>
        <v>0</v>
      </c>
      <c r="K110" s="210"/>
      <c r="L110" s="210"/>
      <c r="M110" s="210"/>
      <c r="N110" s="699"/>
      <c r="O110" s="209"/>
    </row>
    <row r="111" spans="1:15" ht="13.5" thickTop="1" thickBot="1">
      <c r="A111" s="862"/>
      <c r="B111" s="207"/>
      <c r="C111" s="208" t="s">
        <v>91</v>
      </c>
      <c r="D111" s="326">
        <f t="shared" si="16"/>
        <v>0</v>
      </c>
      <c r="E111" s="327"/>
      <c r="F111" s="327"/>
      <c r="G111" s="327"/>
      <c r="H111" s="327"/>
      <c r="I111" s="326"/>
      <c r="J111" s="209">
        <f t="shared" si="17"/>
        <v>0</v>
      </c>
      <c r="K111" s="210"/>
      <c r="L111" s="210"/>
      <c r="M111" s="210"/>
      <c r="N111" s="210"/>
      <c r="O111" s="209"/>
    </row>
    <row r="112" spans="1:15" ht="13.5" thickTop="1" thickBot="1">
      <c r="A112" s="862"/>
      <c r="B112" s="182" t="s">
        <v>237</v>
      </c>
      <c r="C112" s="182" t="s">
        <v>93</v>
      </c>
      <c r="D112" s="324">
        <f t="shared" si="16"/>
        <v>0</v>
      </c>
      <c r="E112" s="324"/>
      <c r="F112" s="324"/>
      <c r="G112" s="328"/>
      <c r="H112" s="328"/>
      <c r="I112" s="324"/>
      <c r="J112" s="196">
        <f t="shared" si="17"/>
        <v>0</v>
      </c>
      <c r="K112" s="196"/>
      <c r="L112" s="196"/>
      <c r="M112" s="211"/>
      <c r="N112" s="211"/>
      <c r="O112" s="196"/>
    </row>
    <row r="113" spans="1:15" ht="13.5" thickTop="1" thickBot="1">
      <c r="A113" s="862"/>
      <c r="B113" s="182" t="s">
        <v>238</v>
      </c>
      <c r="C113" s="182" t="s">
        <v>95</v>
      </c>
      <c r="D113" s="330">
        <f t="shared" si="16"/>
        <v>0</v>
      </c>
      <c r="E113" s="380"/>
      <c r="F113" s="331"/>
      <c r="G113" s="326"/>
      <c r="H113" s="326"/>
      <c r="I113" s="324"/>
      <c r="J113" s="213">
        <f t="shared" si="17"/>
        <v>0</v>
      </c>
      <c r="K113" s="383"/>
      <c r="L113" s="320"/>
      <c r="M113" s="209"/>
      <c r="N113" s="209"/>
      <c r="O113" s="196"/>
    </row>
    <row r="114" spans="1:15" ht="13.5" thickTop="1" thickBot="1">
      <c r="A114" s="862"/>
      <c r="B114" s="207"/>
      <c r="C114" s="208" t="s">
        <v>89</v>
      </c>
      <c r="D114" s="326">
        <f t="shared" si="16"/>
        <v>0</v>
      </c>
      <c r="E114" s="327"/>
      <c r="F114" s="327"/>
      <c r="G114" s="326"/>
      <c r="H114" s="326"/>
      <c r="I114" s="327"/>
      <c r="J114" s="209">
        <f t="shared" si="17"/>
        <v>0</v>
      </c>
      <c r="K114" s="210"/>
      <c r="L114" s="210"/>
      <c r="M114" s="209"/>
      <c r="N114" s="209"/>
      <c r="O114" s="210"/>
    </row>
    <row r="115" spans="1:15" ht="13.5" thickTop="1" thickBot="1">
      <c r="A115" s="862"/>
      <c r="B115" s="207"/>
      <c r="C115" s="208" t="s">
        <v>90</v>
      </c>
      <c r="D115" s="326">
        <f t="shared" si="16"/>
        <v>0</v>
      </c>
      <c r="E115" s="327"/>
      <c r="F115" s="327"/>
      <c r="G115" s="327"/>
      <c r="H115" s="326"/>
      <c r="I115" s="326"/>
      <c r="J115" s="209">
        <f t="shared" si="17"/>
        <v>0</v>
      </c>
      <c r="K115" s="210"/>
      <c r="L115" s="210"/>
      <c r="M115" s="210"/>
      <c r="N115" s="209"/>
      <c r="O115" s="209"/>
    </row>
    <row r="116" spans="1:15" ht="13.5" thickTop="1" thickBot="1">
      <c r="A116" s="862"/>
      <c r="B116" s="207"/>
      <c r="C116" s="208" t="s">
        <v>91</v>
      </c>
      <c r="D116" s="326">
        <f t="shared" si="16"/>
        <v>0</v>
      </c>
      <c r="E116" s="327"/>
      <c r="F116" s="327"/>
      <c r="G116" s="327"/>
      <c r="H116" s="327"/>
      <c r="I116" s="326"/>
      <c r="J116" s="209">
        <f t="shared" si="17"/>
        <v>0</v>
      </c>
      <c r="K116" s="210"/>
      <c r="L116" s="210"/>
      <c r="M116" s="210"/>
      <c r="N116" s="210"/>
      <c r="O116" s="209"/>
    </row>
    <row r="117" spans="1:15" ht="13.5" thickTop="1" thickBot="1">
      <c r="A117" s="862"/>
      <c r="B117" s="182" t="s">
        <v>239</v>
      </c>
      <c r="C117" s="182" t="s">
        <v>97</v>
      </c>
      <c r="D117" s="324">
        <f t="shared" si="16"/>
        <v>0</v>
      </c>
      <c r="E117" s="324"/>
      <c r="F117" s="324"/>
      <c r="G117" s="324"/>
      <c r="H117" s="324"/>
      <c r="I117" s="324"/>
      <c r="J117" s="196">
        <f t="shared" si="17"/>
        <v>0</v>
      </c>
      <c r="K117" s="196"/>
      <c r="L117" s="196"/>
      <c r="M117" s="196"/>
      <c r="N117" s="185"/>
      <c r="O117" s="196"/>
    </row>
    <row r="118" spans="1:15" ht="13.5" thickTop="1" thickBot="1">
      <c r="A118" s="862"/>
      <c r="B118" s="182" t="s">
        <v>240</v>
      </c>
      <c r="C118" s="182" t="s">
        <v>99</v>
      </c>
      <c r="D118" s="324">
        <f t="shared" si="16"/>
        <v>0</v>
      </c>
      <c r="E118" s="324"/>
      <c r="F118" s="324"/>
      <c r="G118" s="324"/>
      <c r="H118" s="323"/>
      <c r="I118" s="324"/>
      <c r="J118" s="196">
        <f t="shared" si="17"/>
        <v>0</v>
      </c>
      <c r="K118" s="196"/>
      <c r="L118" s="196"/>
      <c r="M118" s="196"/>
      <c r="N118" s="196"/>
      <c r="O118" s="196"/>
    </row>
    <row r="119" spans="1:15" ht="13.5" thickTop="1" thickBot="1">
      <c r="A119" s="862"/>
      <c r="B119" s="204" t="s">
        <v>242</v>
      </c>
      <c r="C119" s="595" t="s">
        <v>248</v>
      </c>
      <c r="D119" s="325">
        <f t="shared" ref="D119:D130" si="18">SUM(E119:I119)</f>
        <v>0</v>
      </c>
      <c r="E119" s="284"/>
      <c r="F119" s="325"/>
      <c r="G119" s="284"/>
      <c r="H119" s="356">
        <f>'4 месяца'!H119+май!H119</f>
        <v>0</v>
      </c>
      <c r="I119" s="284"/>
      <c r="J119" s="206">
        <f t="shared" ref="J119:J130" si="19">SUM(K119:O119)</f>
        <v>683.06</v>
      </c>
      <c r="K119" s="284"/>
      <c r="L119" s="325"/>
      <c r="M119" s="214"/>
      <c r="N119" s="356">
        <f>'4 месяца'!N119+май!N119</f>
        <v>683.06</v>
      </c>
      <c r="O119" s="214"/>
    </row>
    <row r="120" spans="1:15" ht="13.5" thickTop="1" thickBot="1">
      <c r="A120" s="862"/>
      <c r="B120" s="182" t="s">
        <v>243</v>
      </c>
      <c r="C120" s="182" t="s">
        <v>88</v>
      </c>
      <c r="D120" s="324">
        <f t="shared" si="18"/>
        <v>0</v>
      </c>
      <c r="E120" s="324"/>
      <c r="F120" s="324"/>
      <c r="G120" s="324"/>
      <c r="H120" s="324"/>
      <c r="I120" s="324"/>
      <c r="J120" s="196">
        <f t="shared" si="19"/>
        <v>0</v>
      </c>
      <c r="K120" s="196"/>
      <c r="L120" s="196"/>
      <c r="M120" s="196"/>
      <c r="N120" s="196"/>
      <c r="O120" s="196"/>
    </row>
    <row r="121" spans="1:15" ht="13.5" thickTop="1" thickBot="1">
      <c r="A121" s="862"/>
      <c r="B121" s="207"/>
      <c r="C121" s="208" t="s">
        <v>89</v>
      </c>
      <c r="D121" s="326">
        <f t="shared" si="18"/>
        <v>0</v>
      </c>
      <c r="E121" s="327"/>
      <c r="F121" s="327"/>
      <c r="G121" s="326"/>
      <c r="H121" s="356">
        <f>'4 месяца'!H121+май!H121</f>
        <v>0</v>
      </c>
      <c r="I121" s="327"/>
      <c r="J121" s="209">
        <f t="shared" si="19"/>
        <v>683.06</v>
      </c>
      <c r="K121" s="210"/>
      <c r="L121" s="210"/>
      <c r="M121" s="209"/>
      <c r="N121" s="356">
        <f>'4 месяца'!N121+май!N121</f>
        <v>683.06</v>
      </c>
      <c r="O121" s="210"/>
    </row>
    <row r="122" spans="1:15" ht="13.5" thickTop="1" thickBot="1">
      <c r="A122" s="862"/>
      <c r="B122" s="207"/>
      <c r="C122" s="208" t="s">
        <v>90</v>
      </c>
      <c r="D122" s="326">
        <f t="shared" si="18"/>
        <v>0</v>
      </c>
      <c r="E122" s="327"/>
      <c r="F122" s="327"/>
      <c r="G122" s="327"/>
      <c r="H122" s="339"/>
      <c r="I122" s="326"/>
      <c r="J122" s="209">
        <f t="shared" si="19"/>
        <v>0</v>
      </c>
      <c r="K122" s="210"/>
      <c r="L122" s="210"/>
      <c r="M122" s="210"/>
      <c r="N122" s="699"/>
      <c r="O122" s="209"/>
    </row>
    <row r="123" spans="1:15" ht="13.5" thickTop="1" thickBot="1">
      <c r="A123" s="862"/>
      <c r="B123" s="207"/>
      <c r="C123" s="208" t="s">
        <v>91</v>
      </c>
      <c r="D123" s="326">
        <f t="shared" si="18"/>
        <v>0</v>
      </c>
      <c r="E123" s="327"/>
      <c r="F123" s="327"/>
      <c r="G123" s="327"/>
      <c r="H123" s="327"/>
      <c r="I123" s="326"/>
      <c r="J123" s="209">
        <f t="shared" si="19"/>
        <v>0</v>
      </c>
      <c r="K123" s="210"/>
      <c r="L123" s="210"/>
      <c r="M123" s="210"/>
      <c r="N123" s="210"/>
      <c r="O123" s="209"/>
    </row>
    <row r="124" spans="1:15" ht="13.5" thickTop="1" thickBot="1">
      <c r="A124" s="862"/>
      <c r="B124" s="182" t="s">
        <v>244</v>
      </c>
      <c r="C124" s="182" t="s">
        <v>93</v>
      </c>
      <c r="D124" s="324">
        <f t="shared" si="18"/>
        <v>0</v>
      </c>
      <c r="E124" s="324"/>
      <c r="F124" s="324"/>
      <c r="G124" s="328"/>
      <c r="H124" s="328"/>
      <c r="I124" s="324"/>
      <c r="J124" s="196">
        <f t="shared" si="19"/>
        <v>0</v>
      </c>
      <c r="K124" s="196"/>
      <c r="L124" s="196"/>
      <c r="M124" s="211"/>
      <c r="N124" s="211"/>
      <c r="O124" s="196"/>
    </row>
    <row r="125" spans="1:15" ht="13.5" thickTop="1" thickBot="1">
      <c r="A125" s="862"/>
      <c r="B125" s="182" t="s">
        <v>245</v>
      </c>
      <c r="C125" s="182" t="s">
        <v>95</v>
      </c>
      <c r="D125" s="330">
        <f t="shared" si="18"/>
        <v>0</v>
      </c>
      <c r="E125" s="380"/>
      <c r="F125" s="331"/>
      <c r="G125" s="326"/>
      <c r="H125" s="326"/>
      <c r="I125" s="324"/>
      <c r="J125" s="213">
        <f t="shared" si="19"/>
        <v>0</v>
      </c>
      <c r="K125" s="383"/>
      <c r="L125" s="320"/>
      <c r="M125" s="209"/>
      <c r="N125" s="209"/>
      <c r="O125" s="196"/>
    </row>
    <row r="126" spans="1:15" ht="13.5" thickTop="1" thickBot="1">
      <c r="A126" s="862"/>
      <c r="B126" s="207"/>
      <c r="C126" s="208" t="s">
        <v>89</v>
      </c>
      <c r="D126" s="326">
        <f t="shared" si="18"/>
        <v>0</v>
      </c>
      <c r="E126" s="327"/>
      <c r="F126" s="327"/>
      <c r="G126" s="326"/>
      <c r="H126" s="326"/>
      <c r="I126" s="327"/>
      <c r="J126" s="209">
        <f t="shared" si="19"/>
        <v>0</v>
      </c>
      <c r="K126" s="210"/>
      <c r="L126" s="210"/>
      <c r="M126" s="209"/>
      <c r="N126" s="209"/>
      <c r="O126" s="210"/>
    </row>
    <row r="127" spans="1:15" ht="13.5" thickTop="1" thickBot="1">
      <c r="A127" s="862"/>
      <c r="B127" s="207"/>
      <c r="C127" s="208" t="s">
        <v>90</v>
      </c>
      <c r="D127" s="326">
        <f t="shared" si="18"/>
        <v>0</v>
      </c>
      <c r="E127" s="327"/>
      <c r="F127" s="327"/>
      <c r="G127" s="327"/>
      <c r="H127" s="326"/>
      <c r="I127" s="326"/>
      <c r="J127" s="209">
        <f t="shared" si="19"/>
        <v>0</v>
      </c>
      <c r="K127" s="210"/>
      <c r="L127" s="210"/>
      <c r="M127" s="210"/>
      <c r="N127" s="209"/>
      <c r="O127" s="209"/>
    </row>
    <row r="128" spans="1:15" ht="13.5" thickTop="1" thickBot="1">
      <c r="A128" s="862"/>
      <c r="B128" s="207"/>
      <c r="C128" s="208" t="s">
        <v>91</v>
      </c>
      <c r="D128" s="326">
        <f t="shared" si="18"/>
        <v>0</v>
      </c>
      <c r="E128" s="327"/>
      <c r="F128" s="327"/>
      <c r="G128" s="327"/>
      <c r="H128" s="327"/>
      <c r="I128" s="326"/>
      <c r="J128" s="209">
        <f t="shared" si="19"/>
        <v>0</v>
      </c>
      <c r="K128" s="210"/>
      <c r="L128" s="210"/>
      <c r="M128" s="210"/>
      <c r="N128" s="210"/>
      <c r="O128" s="209"/>
    </row>
    <row r="129" spans="1:15" ht="13.5" thickTop="1" thickBot="1">
      <c r="A129" s="862"/>
      <c r="B129" s="182" t="s">
        <v>246</v>
      </c>
      <c r="C129" s="182" t="s">
        <v>97</v>
      </c>
      <c r="D129" s="324">
        <f t="shared" si="18"/>
        <v>0</v>
      </c>
      <c r="E129" s="324"/>
      <c r="F129" s="324"/>
      <c r="G129" s="324"/>
      <c r="H129" s="324"/>
      <c r="I129" s="324"/>
      <c r="J129" s="196">
        <f t="shared" si="19"/>
        <v>0</v>
      </c>
      <c r="K129" s="196"/>
      <c r="L129" s="196"/>
      <c r="M129" s="196"/>
      <c r="N129" s="185"/>
      <c r="O129" s="196"/>
    </row>
    <row r="130" spans="1:15" ht="13.5" thickTop="1" thickBot="1">
      <c r="A130" s="862"/>
      <c r="B130" s="182" t="s">
        <v>247</v>
      </c>
      <c r="C130" s="182" t="s">
        <v>99</v>
      </c>
      <c r="D130" s="324">
        <f t="shared" si="18"/>
        <v>0</v>
      </c>
      <c r="E130" s="324"/>
      <c r="F130" s="324"/>
      <c r="G130" s="324"/>
      <c r="H130" s="323"/>
      <c r="I130" s="324"/>
      <c r="J130" s="196">
        <f t="shared" si="19"/>
        <v>0</v>
      </c>
      <c r="K130" s="196"/>
      <c r="L130" s="196"/>
      <c r="M130" s="196"/>
      <c r="N130" s="196"/>
      <c r="O130" s="196"/>
    </row>
    <row r="131" spans="1:15" ht="13.5" thickTop="1" thickBot="1">
      <c r="A131" s="862"/>
      <c r="B131" s="204" t="s">
        <v>250</v>
      </c>
      <c r="C131" s="595" t="s">
        <v>249</v>
      </c>
      <c r="D131" s="325">
        <f t="shared" ref="D131:D142" si="20">SUM(E131:I131)</f>
        <v>0</v>
      </c>
      <c r="E131" s="284"/>
      <c r="F131" s="325"/>
      <c r="G131" s="284"/>
      <c r="H131" s="339"/>
      <c r="I131" s="284"/>
      <c r="J131" s="206">
        <f t="shared" ref="J131:J142" si="21">SUM(K131:O131)</f>
        <v>0</v>
      </c>
      <c r="K131" s="284"/>
      <c r="L131" s="325"/>
      <c r="M131" s="214"/>
      <c r="N131" s="339"/>
      <c r="O131" s="214"/>
    </row>
    <row r="132" spans="1:15" ht="13.5" thickTop="1" thickBot="1">
      <c r="A132" s="862"/>
      <c r="B132" s="182" t="s">
        <v>251</v>
      </c>
      <c r="C132" s="182" t="s">
        <v>88</v>
      </c>
      <c r="D132" s="324">
        <f t="shared" si="20"/>
        <v>0</v>
      </c>
      <c r="E132" s="324"/>
      <c r="F132" s="324"/>
      <c r="G132" s="324"/>
      <c r="H132" s="324"/>
      <c r="I132" s="324"/>
      <c r="J132" s="196">
        <f t="shared" si="21"/>
        <v>0</v>
      </c>
      <c r="K132" s="196"/>
      <c r="L132" s="196"/>
      <c r="M132" s="196"/>
      <c r="N132" s="196"/>
      <c r="O132" s="196"/>
    </row>
    <row r="133" spans="1:15" ht="13.5" thickTop="1" thickBot="1">
      <c r="A133" s="862"/>
      <c r="B133" s="207"/>
      <c r="C133" s="208" t="s">
        <v>89</v>
      </c>
      <c r="D133" s="326">
        <f t="shared" si="20"/>
        <v>0</v>
      </c>
      <c r="E133" s="327"/>
      <c r="F133" s="327"/>
      <c r="G133" s="326"/>
      <c r="H133" s="339"/>
      <c r="I133" s="327"/>
      <c r="J133" s="209">
        <f t="shared" si="21"/>
        <v>0</v>
      </c>
      <c r="K133" s="210"/>
      <c r="L133" s="210"/>
      <c r="M133" s="209"/>
      <c r="N133" s="339"/>
      <c r="O133" s="210"/>
    </row>
    <row r="134" spans="1:15" ht="13.5" thickTop="1" thickBot="1">
      <c r="A134" s="862"/>
      <c r="B134" s="207"/>
      <c r="C134" s="208" t="s">
        <v>90</v>
      </c>
      <c r="D134" s="326">
        <f t="shared" si="20"/>
        <v>0</v>
      </c>
      <c r="E134" s="327"/>
      <c r="F134" s="327"/>
      <c r="G134" s="327"/>
      <c r="H134" s="339"/>
      <c r="I134" s="326"/>
      <c r="J134" s="209">
        <f t="shared" si="21"/>
        <v>0</v>
      </c>
      <c r="K134" s="210"/>
      <c r="L134" s="210"/>
      <c r="M134" s="210"/>
      <c r="N134" s="699"/>
      <c r="O134" s="209"/>
    </row>
    <row r="135" spans="1:15" ht="13.5" thickTop="1" thickBot="1">
      <c r="A135" s="862"/>
      <c r="B135" s="207"/>
      <c r="C135" s="208" t="s">
        <v>91</v>
      </c>
      <c r="D135" s="326">
        <f t="shared" si="20"/>
        <v>0</v>
      </c>
      <c r="E135" s="327"/>
      <c r="F135" s="327"/>
      <c r="G135" s="327"/>
      <c r="H135" s="327"/>
      <c r="I135" s="326"/>
      <c r="J135" s="209">
        <f t="shared" si="21"/>
        <v>0</v>
      </c>
      <c r="K135" s="210"/>
      <c r="L135" s="210"/>
      <c r="M135" s="210"/>
      <c r="N135" s="210"/>
      <c r="O135" s="209"/>
    </row>
    <row r="136" spans="1:15" ht="13.5" thickTop="1" thickBot="1">
      <c r="A136" s="862"/>
      <c r="B136" s="182" t="s">
        <v>252</v>
      </c>
      <c r="C136" s="182" t="s">
        <v>93</v>
      </c>
      <c r="D136" s="324">
        <f t="shared" si="20"/>
        <v>0</v>
      </c>
      <c r="E136" s="324"/>
      <c r="F136" s="324"/>
      <c r="G136" s="328"/>
      <c r="H136" s="328"/>
      <c r="I136" s="324"/>
      <c r="J136" s="196">
        <f t="shared" si="21"/>
        <v>0</v>
      </c>
      <c r="K136" s="196"/>
      <c r="L136" s="196"/>
      <c r="M136" s="211"/>
      <c r="N136" s="211"/>
      <c r="O136" s="196"/>
    </row>
    <row r="137" spans="1:15" ht="13.5" thickTop="1" thickBot="1">
      <c r="A137" s="862"/>
      <c r="B137" s="182" t="s">
        <v>253</v>
      </c>
      <c r="C137" s="182" t="s">
        <v>95</v>
      </c>
      <c r="D137" s="330">
        <f t="shared" si="20"/>
        <v>0</v>
      </c>
      <c r="E137" s="380"/>
      <c r="F137" s="331"/>
      <c r="G137" s="326"/>
      <c r="H137" s="326"/>
      <c r="I137" s="324"/>
      <c r="J137" s="213">
        <f t="shared" si="21"/>
        <v>0</v>
      </c>
      <c r="K137" s="383"/>
      <c r="L137" s="320"/>
      <c r="M137" s="209"/>
      <c r="N137" s="209"/>
      <c r="O137" s="196"/>
    </row>
    <row r="138" spans="1:15" ht="13.5" thickTop="1" thickBot="1">
      <c r="A138" s="862"/>
      <c r="B138" s="207"/>
      <c r="C138" s="208" t="s">
        <v>89</v>
      </c>
      <c r="D138" s="326">
        <f t="shared" si="20"/>
        <v>0</v>
      </c>
      <c r="E138" s="327"/>
      <c r="F138" s="327"/>
      <c r="G138" s="326"/>
      <c r="H138" s="326"/>
      <c r="I138" s="327"/>
      <c r="J138" s="209">
        <f t="shared" si="21"/>
        <v>0</v>
      </c>
      <c r="K138" s="210"/>
      <c r="L138" s="210"/>
      <c r="M138" s="209"/>
      <c r="N138" s="209"/>
      <c r="O138" s="210"/>
    </row>
    <row r="139" spans="1:15" ht="13.5" thickTop="1" thickBot="1">
      <c r="A139" s="862"/>
      <c r="B139" s="207"/>
      <c r="C139" s="208" t="s">
        <v>90</v>
      </c>
      <c r="D139" s="326">
        <f t="shared" si="20"/>
        <v>0</v>
      </c>
      <c r="E139" s="327"/>
      <c r="F139" s="327"/>
      <c r="G139" s="327"/>
      <c r="H139" s="326"/>
      <c r="I139" s="326"/>
      <c r="J139" s="209">
        <f t="shared" si="21"/>
        <v>0</v>
      </c>
      <c r="K139" s="210"/>
      <c r="L139" s="210"/>
      <c r="M139" s="210"/>
      <c r="N139" s="209"/>
      <c r="O139" s="209"/>
    </row>
    <row r="140" spans="1:15" ht="13.5" thickTop="1" thickBot="1">
      <c r="A140" s="862"/>
      <c r="B140" s="207"/>
      <c r="C140" s="208" t="s">
        <v>91</v>
      </c>
      <c r="D140" s="326">
        <f t="shared" si="20"/>
        <v>0</v>
      </c>
      <c r="E140" s="327"/>
      <c r="F140" s="327"/>
      <c r="G140" s="327"/>
      <c r="H140" s="327"/>
      <c r="I140" s="326"/>
      <c r="J140" s="209">
        <f t="shared" si="21"/>
        <v>0</v>
      </c>
      <c r="K140" s="210"/>
      <c r="L140" s="210"/>
      <c r="M140" s="210"/>
      <c r="N140" s="210"/>
      <c r="O140" s="209"/>
    </row>
    <row r="141" spans="1:15" ht="13.5" thickTop="1" thickBot="1">
      <c r="A141" s="862"/>
      <c r="B141" s="182" t="s">
        <v>254</v>
      </c>
      <c r="C141" s="182" t="s">
        <v>97</v>
      </c>
      <c r="D141" s="324">
        <f t="shared" si="20"/>
        <v>0</v>
      </c>
      <c r="E141" s="324"/>
      <c r="F141" s="324"/>
      <c r="G141" s="324"/>
      <c r="H141" s="324"/>
      <c r="I141" s="324"/>
      <c r="J141" s="196">
        <f t="shared" si="21"/>
        <v>0</v>
      </c>
      <c r="K141" s="196"/>
      <c r="L141" s="196"/>
      <c r="M141" s="196"/>
      <c r="N141" s="185"/>
      <c r="O141" s="196"/>
    </row>
    <row r="142" spans="1:15" ht="13.5" thickTop="1" thickBot="1">
      <c r="A142" s="862"/>
      <c r="B142" s="182" t="s">
        <v>255</v>
      </c>
      <c r="C142" s="182" t="s">
        <v>99</v>
      </c>
      <c r="D142" s="324">
        <f t="shared" si="20"/>
        <v>0</v>
      </c>
      <c r="E142" s="324"/>
      <c r="F142" s="324"/>
      <c r="G142" s="324"/>
      <c r="H142" s="323"/>
      <c r="I142" s="324"/>
      <c r="J142" s="196">
        <f t="shared" si="21"/>
        <v>0</v>
      </c>
      <c r="K142" s="196"/>
      <c r="L142" s="196"/>
      <c r="M142" s="196"/>
      <c r="N142" s="196"/>
      <c r="O142" s="196"/>
    </row>
    <row r="143" spans="1:15" ht="12.75" customHeight="1" thickTop="1" thickBot="1">
      <c r="A143" s="862"/>
      <c r="B143" s="257" t="s">
        <v>100</v>
      </c>
      <c r="C143" s="257" t="s">
        <v>101</v>
      </c>
      <c r="D143" s="285">
        <f t="shared" si="12"/>
        <v>1382790.8</v>
      </c>
      <c r="E143" s="286">
        <f>SUM(E144:E147)</f>
        <v>0</v>
      </c>
      <c r="F143" s="286">
        <f>SUM(F144:F147)</f>
        <v>449840</v>
      </c>
      <c r="G143" s="286">
        <f>SUM(G144:G147)</f>
        <v>20329.2</v>
      </c>
      <c r="H143" s="286">
        <f>SUM(H144:H147)</f>
        <v>347996</v>
      </c>
      <c r="I143" s="285">
        <f>SUM(I144:I147)</f>
        <v>564625.60000000009</v>
      </c>
      <c r="J143" s="261">
        <f t="shared" si="13"/>
        <v>1252591.0959999999</v>
      </c>
      <c r="K143" s="286">
        <f>SUM(K144:K147)</f>
        <v>0</v>
      </c>
      <c r="L143" s="286">
        <f>SUM(L144:L147)</f>
        <v>454293.28900000005</v>
      </c>
      <c r="M143" s="286">
        <f>SUM(M144:M147)</f>
        <v>10982.945</v>
      </c>
      <c r="N143" s="286">
        <f>SUM(N144:N147)</f>
        <v>298825.99699999997</v>
      </c>
      <c r="O143" s="285">
        <f>SUM(O144:O147)</f>
        <v>488488.86499999999</v>
      </c>
    </row>
    <row r="144" spans="1:15" ht="12.75" customHeight="1" thickTop="1" thickBot="1">
      <c r="A144" s="862"/>
      <c r="B144" s="249" t="s">
        <v>102</v>
      </c>
      <c r="C144" s="250" t="s">
        <v>103</v>
      </c>
      <c r="D144" s="358">
        <f t="shared" si="12"/>
        <v>357757.39863000007</v>
      </c>
      <c r="E144" s="252"/>
      <c r="F144" s="287"/>
      <c r="G144" s="287"/>
      <c r="H144" s="287"/>
      <c r="I144" s="356">
        <f>'4 месяца'!I144+май!I144</f>
        <v>357757.39863000007</v>
      </c>
      <c r="J144" s="252">
        <f t="shared" si="13"/>
        <v>342056.65899999999</v>
      </c>
      <c r="K144" s="252"/>
      <c r="L144" s="287"/>
      <c r="M144" s="287"/>
      <c r="N144" s="287"/>
      <c r="O144" s="356">
        <f>'4 месяца'!O144+май!O144</f>
        <v>342056.65899999999</v>
      </c>
    </row>
    <row r="145" spans="1:16" ht="12.75" customHeight="1" thickTop="1" thickBot="1">
      <c r="A145" s="862"/>
      <c r="B145" s="249" t="s">
        <v>104</v>
      </c>
      <c r="C145" s="250" t="s">
        <v>206</v>
      </c>
      <c r="D145" s="358"/>
      <c r="E145" s="252"/>
      <c r="F145" s="287"/>
      <c r="G145" s="287"/>
      <c r="H145" s="287"/>
      <c r="I145" s="356">
        <f>'4 месяца'!I145+май!I145</f>
        <v>0</v>
      </c>
      <c r="J145" s="252"/>
      <c r="K145" s="252"/>
      <c r="L145" s="287"/>
      <c r="M145" s="287"/>
      <c r="N145" s="287"/>
      <c r="O145" s="356">
        <f>'4 месяца'!O145+май!O145</f>
        <v>0</v>
      </c>
    </row>
    <row r="146" spans="1:16" ht="12.75" customHeight="1" thickTop="1" thickBot="1">
      <c r="A146" s="862"/>
      <c r="B146" s="249" t="s">
        <v>106</v>
      </c>
      <c r="C146" s="250" t="s">
        <v>105</v>
      </c>
      <c r="D146" s="358">
        <f t="shared" si="12"/>
        <v>1025033.40137</v>
      </c>
      <c r="E146" s="356">
        <f>'4 месяца'!E146+май!E146</f>
        <v>0</v>
      </c>
      <c r="F146" s="356">
        <f>'4 месяца'!F146+май!F146</f>
        <v>449840</v>
      </c>
      <c r="G146" s="356">
        <f>'4 месяца'!G146+май!G146</f>
        <v>20329.2</v>
      </c>
      <c r="H146" s="356">
        <f>'4 месяца'!H146+май!H146</f>
        <v>347996</v>
      </c>
      <c r="I146" s="356">
        <f>'4 месяца'!I146+май!I146</f>
        <v>206868.20137000002</v>
      </c>
      <c r="J146" s="252">
        <f t="shared" si="13"/>
        <v>804033.84100000001</v>
      </c>
      <c r="K146" s="356">
        <f>'4 месяца'!K146+май!K146</f>
        <v>0</v>
      </c>
      <c r="L146" s="356">
        <f>'4 месяца'!L146+май!L146</f>
        <v>454293.28900000005</v>
      </c>
      <c r="M146" s="356">
        <f>'4 месяца'!M146+май!M146</f>
        <v>10267.041999999999</v>
      </c>
      <c r="N146" s="356">
        <f>'4 месяца'!N146+май!N146</f>
        <v>215933.02299999999</v>
      </c>
      <c r="O146" s="356">
        <f>'4 месяца'!O146+май!O146</f>
        <v>123540.48700000001</v>
      </c>
    </row>
    <row r="147" spans="1:16" ht="12.75" customHeight="1" thickTop="1" thickBot="1">
      <c r="A147" s="862"/>
      <c r="B147" s="249" t="s">
        <v>207</v>
      </c>
      <c r="C147" s="250" t="s">
        <v>107</v>
      </c>
      <c r="D147" s="358">
        <f t="shared" si="12"/>
        <v>0</v>
      </c>
      <c r="E147" s="356">
        <f>'4 месяца'!E147+май!E147</f>
        <v>0</v>
      </c>
      <c r="F147" s="356">
        <f>'4 месяца'!F147+май!F147</f>
        <v>0</v>
      </c>
      <c r="G147" s="356">
        <f>'4 месяца'!G147+май!G147</f>
        <v>0</v>
      </c>
      <c r="H147" s="356">
        <f>'4 месяца'!H147+май!H147</f>
        <v>0</v>
      </c>
      <c r="I147" s="356">
        <f>'4 месяца'!I147+май!I147</f>
        <v>0</v>
      </c>
      <c r="J147" s="252">
        <f t="shared" si="13"/>
        <v>106500.59600000001</v>
      </c>
      <c r="K147" s="356">
        <f>'4 месяца'!K147+май!K147</f>
        <v>0</v>
      </c>
      <c r="L147" s="356">
        <f>'4 месяца'!L147+май!L147</f>
        <v>0</v>
      </c>
      <c r="M147" s="356">
        <f>'4 месяца'!M147+май!M147</f>
        <v>715.90299999999991</v>
      </c>
      <c r="N147" s="356">
        <f>'4 месяца'!N147+май!N147</f>
        <v>82892.974000000002</v>
      </c>
      <c r="O147" s="356">
        <f>'4 месяца'!O147+май!O147</f>
        <v>22891.718999999997</v>
      </c>
    </row>
    <row r="148" spans="1:16" ht="12.75" customHeight="1" thickTop="1" thickBot="1">
      <c r="A148" s="862"/>
      <c r="B148" s="249" t="s">
        <v>108</v>
      </c>
      <c r="C148" s="249" t="s">
        <v>169</v>
      </c>
      <c r="D148" s="291">
        <f>D150/1.18/D143</f>
        <v>1.1790091672480461</v>
      </c>
      <c r="E148" s="596">
        <v>0.93222000000000005</v>
      </c>
      <c r="F148" s="596">
        <v>0.93222000000000005</v>
      </c>
      <c r="G148" s="596">
        <v>1.21035</v>
      </c>
      <c r="H148" s="596">
        <v>1.94818</v>
      </c>
      <c r="I148" s="596">
        <v>2.8441000000000001</v>
      </c>
      <c r="J148" s="291">
        <f>J150/1.18/J143</f>
        <v>1.1297852912412207</v>
      </c>
      <c r="K148" s="596">
        <v>0.93222000000000005</v>
      </c>
      <c r="L148" s="596">
        <v>0.93222000000000005</v>
      </c>
      <c r="M148" s="596">
        <v>1.21035</v>
      </c>
      <c r="N148" s="596">
        <v>1.94818</v>
      </c>
      <c r="O148" s="596">
        <v>2.8441000000000001</v>
      </c>
    </row>
    <row r="149" spans="1:16" ht="12.75" customHeight="1" thickTop="1" thickBot="1">
      <c r="A149" s="862"/>
      <c r="B149" s="249" t="s">
        <v>205</v>
      </c>
      <c r="C149" s="249" t="s">
        <v>169</v>
      </c>
      <c r="D149" s="291"/>
      <c r="E149" s="289"/>
      <c r="F149" s="290"/>
      <c r="G149" s="290"/>
      <c r="H149" s="290"/>
      <c r="I149" s="598">
        <v>1.5637700000000001</v>
      </c>
      <c r="J149" s="291"/>
      <c r="K149" s="289"/>
      <c r="L149" s="290"/>
      <c r="M149" s="290"/>
      <c r="N149" s="290"/>
      <c r="O149" s="598">
        <v>1.5637700000000001</v>
      </c>
    </row>
    <row r="150" spans="1:16" ht="12.75" customHeight="1" thickTop="1" thickBot="1">
      <c r="A150" s="862"/>
      <c r="B150" s="249" t="s">
        <v>109</v>
      </c>
      <c r="C150" s="292" t="s">
        <v>110</v>
      </c>
      <c r="D150" s="285">
        <f>SUM(E150:I150)</f>
        <v>1923781.1749117861</v>
      </c>
      <c r="E150" s="285">
        <f>'4 месяца'!E150+май!E150</f>
        <v>0</v>
      </c>
      <c r="F150" s="285">
        <f>'4 месяца'!F150+май!F150</f>
        <v>290319.2309268266</v>
      </c>
      <c r="G150" s="285">
        <f>'4 месяца'!G150+май!G150</f>
        <v>21182.526301679998</v>
      </c>
      <c r="H150" s="285">
        <f>'4 месяца'!H150+май!H150</f>
        <v>583648.24252239999</v>
      </c>
      <c r="I150" s="285">
        <f>'4 месяца'!I150+май!I150</f>
        <v>1028631.1751608795</v>
      </c>
      <c r="J150" s="261">
        <f>SUM(K150:O150)</f>
        <v>1669887.6155166132</v>
      </c>
      <c r="K150" s="285">
        <f>'4 месяца'!K150+май!K150</f>
        <v>0</v>
      </c>
      <c r="L150" s="285">
        <f>'4 месяца'!L150+май!L150</f>
        <v>300700.58630695834</v>
      </c>
      <c r="M150" s="285">
        <f>'4 месяца'!M150+май!M150</f>
        <v>11277.191878765199</v>
      </c>
      <c r="N150" s="285">
        <f>'4 месяца'!N150+май!N150</f>
        <v>496668.32112418197</v>
      </c>
      <c r="O150" s="285">
        <f>'4 месяца'!O150+май!O150</f>
        <v>861241.51620670792</v>
      </c>
    </row>
    <row r="151" spans="1:16" ht="12.75" customHeight="1" thickTop="1" thickBot="1">
      <c r="A151" s="863" t="s">
        <v>111</v>
      </c>
      <c r="B151" s="220" t="s">
        <v>112</v>
      </c>
      <c r="C151" s="221" t="s">
        <v>113</v>
      </c>
      <c r="D151" s="379">
        <f>SUM(E151:I151)</f>
        <v>321570</v>
      </c>
      <c r="E151" s="222">
        <f>E44-E34-E46</f>
        <v>0</v>
      </c>
      <c r="F151" s="222">
        <f>F44-F34-F46</f>
        <v>49780</v>
      </c>
      <c r="G151" s="222">
        <f>G44-G34-G46</f>
        <v>23870</v>
      </c>
      <c r="H151" s="222">
        <f>H44-H34-H46</f>
        <v>90880</v>
      </c>
      <c r="I151" s="222">
        <f>I44-I34-I46</f>
        <v>157040</v>
      </c>
      <c r="J151" s="295">
        <f>SUM(K151:O151)</f>
        <v>372774.64799999999</v>
      </c>
      <c r="K151" s="222">
        <f>K44-K34-K46</f>
        <v>0</v>
      </c>
      <c r="L151" s="222">
        <f>L44-L34-L46</f>
        <v>48318.046399999992</v>
      </c>
      <c r="M151" s="222">
        <f>M44-M34-M46</f>
        <v>20092.55699999987</v>
      </c>
      <c r="N151" s="222">
        <f>N44-N34-N46</f>
        <v>84287.275600000052</v>
      </c>
      <c r="O151" s="222">
        <f>O44-O34-O46</f>
        <v>220076.76900000009</v>
      </c>
    </row>
    <row r="152" spans="1:16" ht="12.75" customHeight="1" thickTop="1" thickBot="1">
      <c r="A152" s="863"/>
      <c r="B152" s="234" t="s">
        <v>114</v>
      </c>
      <c r="C152" s="179" t="s">
        <v>115</v>
      </c>
      <c r="D152" s="346">
        <f t="shared" ref="D152:J152" si="22">IF(D44=0,0,D151/D44*100)</f>
        <v>18.702563118315215</v>
      </c>
      <c r="E152" s="346">
        <f t="shared" si="22"/>
        <v>0</v>
      </c>
      <c r="F152" s="346">
        <f t="shared" si="22"/>
        <v>3.8726943154324305</v>
      </c>
      <c r="G152" s="346">
        <f t="shared" si="22"/>
        <v>4.5348673736525535</v>
      </c>
      <c r="H152" s="346">
        <f t="shared" si="22"/>
        <v>7.1336059718831679</v>
      </c>
      <c r="I152" s="346">
        <f t="shared" si="22"/>
        <v>21.57705994696418</v>
      </c>
      <c r="J152" s="346">
        <f t="shared" si="22"/>
        <v>22.804136706298689</v>
      </c>
      <c r="K152" s="346">
        <f>IF(K44=0,0,K151/K44*100)</f>
        <v>0</v>
      </c>
      <c r="L152" s="346">
        <f t="shared" ref="L152:O152" si="23">IF(L44=0,0,L151/L44*100)</f>
        <v>3.8026208921142772</v>
      </c>
      <c r="M152" s="346">
        <f t="shared" si="23"/>
        <v>4.3704708243821626</v>
      </c>
      <c r="N152" s="346">
        <f t="shared" si="23"/>
        <v>6.9495349608070898</v>
      </c>
      <c r="O152" s="346">
        <f t="shared" si="23"/>
        <v>30.749940225153654</v>
      </c>
    </row>
    <row r="153" spans="1:16" ht="12.75" customHeight="1" thickTop="1" thickBot="1">
      <c r="A153" s="863"/>
      <c r="B153" s="234" t="s">
        <v>116</v>
      </c>
      <c r="C153" s="179" t="s">
        <v>117</v>
      </c>
      <c r="D153" s="346">
        <f t="shared" ref="D153:J153" si="24">IF(D45=0,0,D151/D45*100)</f>
        <v>18.702563118315215</v>
      </c>
      <c r="E153" s="346">
        <f t="shared" si="24"/>
        <v>0</v>
      </c>
      <c r="F153" s="346">
        <f t="shared" si="24"/>
        <v>3.8726943154324305</v>
      </c>
      <c r="G153" s="346">
        <f t="shared" si="24"/>
        <v>4.6735632561989817</v>
      </c>
      <c r="H153" s="346">
        <f t="shared" si="24"/>
        <v>7.7887840823581644</v>
      </c>
      <c r="I153" s="346">
        <f t="shared" si="24"/>
        <v>21.760771193749566</v>
      </c>
      <c r="J153" s="346">
        <f t="shared" si="24"/>
        <v>22.804136706298689</v>
      </c>
      <c r="K153" s="346">
        <f>IF(K45=0,0,K151/K45*100)</f>
        <v>0</v>
      </c>
      <c r="L153" s="346">
        <f t="shared" ref="L153:O153" si="25">IF(L45=0,0,L151/L45*100)</f>
        <v>3.8026208921142777</v>
      </c>
      <c r="M153" s="346">
        <f t="shared" si="25"/>
        <v>4.5177739292291363</v>
      </c>
      <c r="N153" s="346">
        <f t="shared" si="25"/>
        <v>7.6701347808071283</v>
      </c>
      <c r="O153" s="346">
        <f t="shared" si="25"/>
        <v>31.05947543033114</v>
      </c>
    </row>
    <row r="154" spans="1:16" ht="12.75" customHeight="1" thickTop="1" thickBot="1">
      <c r="A154" s="863"/>
      <c r="B154" s="224" t="s">
        <v>118</v>
      </c>
      <c r="C154" s="225" t="s">
        <v>119</v>
      </c>
      <c r="D154" s="442">
        <f>SUM(E154:I154)</f>
        <v>20933.590266675375</v>
      </c>
      <c r="E154" s="442">
        <v>0</v>
      </c>
      <c r="F154" s="356">
        <f>'4 месяца'!F154+май!F154</f>
        <v>20933.590266675375</v>
      </c>
      <c r="G154" s="442">
        <v>0</v>
      </c>
      <c r="H154" s="442">
        <v>0</v>
      </c>
      <c r="I154" s="442">
        <v>0</v>
      </c>
      <c r="J154" s="442">
        <f>SUM(K154:O154)</f>
        <v>18872.943670799996</v>
      </c>
      <c r="K154" s="442">
        <v>0</v>
      </c>
      <c r="L154" s="356">
        <f>'4 месяца'!L154+май!L154</f>
        <v>18872.943670799996</v>
      </c>
      <c r="M154" s="442">
        <v>0</v>
      </c>
      <c r="N154" s="442">
        <v>0</v>
      </c>
      <c r="O154" s="442">
        <v>0</v>
      </c>
    </row>
    <row r="155" spans="1:16" ht="12.75" customHeight="1" thickTop="1" thickBot="1">
      <c r="A155" s="863"/>
      <c r="B155" s="227" t="s">
        <v>120</v>
      </c>
      <c r="C155" s="186" t="s">
        <v>121</v>
      </c>
      <c r="D155" s="443">
        <f>SUM(E155:I155)</f>
        <v>321570</v>
      </c>
      <c r="E155" s="448">
        <f>E151</f>
        <v>0</v>
      </c>
      <c r="F155" s="448">
        <f>F151</f>
        <v>49780</v>
      </c>
      <c r="G155" s="448">
        <f>G151</f>
        <v>23870</v>
      </c>
      <c r="H155" s="448">
        <f>H151</f>
        <v>90880</v>
      </c>
      <c r="I155" s="448">
        <f>I151</f>
        <v>157040</v>
      </c>
      <c r="J155" s="448">
        <f>SUM(K155:O155)</f>
        <v>372774.64799999999</v>
      </c>
      <c r="K155" s="448">
        <f>K151</f>
        <v>0</v>
      </c>
      <c r="L155" s="448">
        <f>L151</f>
        <v>48318.046399999992</v>
      </c>
      <c r="M155" s="448">
        <f>M151</f>
        <v>20092.55699999987</v>
      </c>
      <c r="N155" s="448">
        <f>N151</f>
        <v>84287.275600000052</v>
      </c>
      <c r="O155" s="448">
        <f>O151</f>
        <v>220076.76900000009</v>
      </c>
    </row>
    <row r="156" spans="1:16" ht="12.75" customHeight="1" thickTop="1" thickBot="1">
      <c r="A156" s="863"/>
      <c r="B156" s="227" t="s">
        <v>122</v>
      </c>
      <c r="C156" s="186" t="s">
        <v>167</v>
      </c>
      <c r="D156" s="444">
        <f>D157/1.18/D155</f>
        <v>1.6064751011926042</v>
      </c>
      <c r="E156" s="341">
        <v>1.6064751011926042</v>
      </c>
      <c r="F156" s="341">
        <v>1.6064751011926042</v>
      </c>
      <c r="G156" s="341">
        <v>1.6064751011926042</v>
      </c>
      <c r="H156" s="341">
        <v>1.6064751011926042</v>
      </c>
      <c r="I156" s="341">
        <v>1.6064751011926042</v>
      </c>
      <c r="J156" s="444">
        <f>J157/1.18/J155</f>
        <v>1.4811463407511516</v>
      </c>
      <c r="K156" s="341">
        <v>1.4811463407511516</v>
      </c>
      <c r="L156" s="341">
        <v>1.4811463407511516</v>
      </c>
      <c r="M156" s="341">
        <v>1.4811463407511516</v>
      </c>
      <c r="N156" s="341">
        <v>1.4811463407511516</v>
      </c>
      <c r="O156" s="341">
        <v>1.4811463407511516</v>
      </c>
    </row>
    <row r="157" spans="1:16" ht="12.75" customHeight="1" thickTop="1" thickBot="1">
      <c r="A157" s="863"/>
      <c r="B157" s="227" t="s">
        <v>124</v>
      </c>
      <c r="C157" s="186" t="s">
        <v>168</v>
      </c>
      <c r="D157" s="443">
        <f>SUM(E157:I157)</f>
        <v>609581.15398279671</v>
      </c>
      <c r="E157" s="443">
        <f>E155*E156*1.18</f>
        <v>0</v>
      </c>
      <c r="F157" s="443">
        <f>F155*F156*1.18</f>
        <v>94364.990034094037</v>
      </c>
      <c r="G157" s="443">
        <f>G155*G156*1.18</f>
        <v>45248.941585251603</v>
      </c>
      <c r="H157" s="443">
        <f>H155*H156*1.18</f>
        <v>172275.81949173292</v>
      </c>
      <c r="I157" s="443">
        <f>I155*I156*1.18</f>
        <v>297691.40287171811</v>
      </c>
      <c r="J157" s="448">
        <f>SUM(K157:O157)</f>
        <v>651517.89085579826</v>
      </c>
      <c r="K157" s="448">
        <f>K155*K156*1.18</f>
        <v>0</v>
      </c>
      <c r="L157" s="448">
        <f>L155*L156*1.18</f>
        <v>84447.995188773129</v>
      </c>
      <c r="M157" s="448">
        <f>M155*M156*1.18</f>
        <v>35116.820386722815</v>
      </c>
      <c r="N157" s="448">
        <f>N155*N156*1.18</f>
        <v>147313.31199565221</v>
      </c>
      <c r="O157" s="448">
        <f>O155*O156*1.18</f>
        <v>384639.76328465017</v>
      </c>
    </row>
    <row r="158" spans="1:16" ht="12.75" customHeight="1" thickTop="1" thickBot="1">
      <c r="A158" s="863"/>
      <c r="B158" s="229" t="s">
        <v>126</v>
      </c>
      <c r="C158" s="225" t="s">
        <v>127</v>
      </c>
      <c r="D158" s="445">
        <f>SUM(E158:I158)</f>
        <v>305080</v>
      </c>
      <c r="E158" s="356">
        <f>'4 месяца'!E158+май!E158</f>
        <v>0</v>
      </c>
      <c r="F158" s="356">
        <f>'4 месяца'!F158+май!F158</f>
        <v>49780</v>
      </c>
      <c r="G158" s="356">
        <f>'4 месяца'!G158+май!G158</f>
        <v>23870</v>
      </c>
      <c r="H158" s="356">
        <f>'4 месяца'!H158+май!H158</f>
        <v>90880</v>
      </c>
      <c r="I158" s="356">
        <f>'4 месяца'!I158+май!I158</f>
        <v>140550</v>
      </c>
      <c r="J158" s="442">
        <f>SUM(K158:O158)</f>
        <v>290575.87999999989</v>
      </c>
      <c r="K158" s="356">
        <f>'4 месяца'!K158+май!K158</f>
        <v>0</v>
      </c>
      <c r="L158" s="356">
        <f>'4 месяца'!L158+май!L158</f>
        <v>48318.046399999992</v>
      </c>
      <c r="M158" s="356">
        <f>'4 месяца'!M158+май!M158</f>
        <v>20092.556999999979</v>
      </c>
      <c r="N158" s="356">
        <f>'4 месяца'!N158+май!N158</f>
        <v>84287.275599999935</v>
      </c>
      <c r="O158" s="356">
        <f>'4 месяца'!O158+май!O158</f>
        <v>137878.00099999999</v>
      </c>
    </row>
    <row r="159" spans="1:16" ht="12.75" customHeight="1" thickTop="1" thickBot="1">
      <c r="A159" s="863"/>
      <c r="B159" s="229" t="s">
        <v>128</v>
      </c>
      <c r="C159" s="225" t="s">
        <v>129</v>
      </c>
      <c r="D159" s="345">
        <f t="shared" ref="D159:O159" si="26">IF(D44=0,0,D158/D44*100)</f>
        <v>17.743502055961706</v>
      </c>
      <c r="E159" s="345">
        <f t="shared" si="26"/>
        <v>0</v>
      </c>
      <c r="F159" s="345">
        <f t="shared" si="26"/>
        <v>3.8726943154324305</v>
      </c>
      <c r="G159" s="345">
        <f t="shared" si="26"/>
        <v>4.5348673736525535</v>
      </c>
      <c r="H159" s="345">
        <f t="shared" si="26"/>
        <v>7.1336059718831679</v>
      </c>
      <c r="I159" s="345">
        <f t="shared" si="26"/>
        <v>19.311358733735453</v>
      </c>
      <c r="J159" s="345">
        <f t="shared" si="26"/>
        <v>17.775704776664536</v>
      </c>
      <c r="K159" s="345">
        <f>IF(K44=0,0,K158/K44*100)</f>
        <v>0</v>
      </c>
      <c r="L159" s="345">
        <f t="shared" si="26"/>
        <v>3.8026208921142772</v>
      </c>
      <c r="M159" s="345">
        <f t="shared" si="26"/>
        <v>4.3704708243821857</v>
      </c>
      <c r="N159" s="345">
        <f t="shared" si="26"/>
        <v>6.94953496080708</v>
      </c>
      <c r="O159" s="345">
        <f t="shared" si="26"/>
        <v>19.264824308256152</v>
      </c>
      <c r="P159" s="25"/>
    </row>
    <row r="160" spans="1:16" ht="12.75" customHeight="1" thickTop="1" thickBot="1">
      <c r="A160" s="863"/>
      <c r="B160" s="230" t="s">
        <v>130</v>
      </c>
      <c r="C160" s="225" t="s">
        <v>131</v>
      </c>
      <c r="D160" s="446">
        <f t="shared" ref="D160" si="27">IF(D45=0,0,D158/D45*100)</f>
        <v>17.743502055961706</v>
      </c>
      <c r="E160" s="446">
        <f>IF(E45=0,0,E158/E45*100)</f>
        <v>0</v>
      </c>
      <c r="F160" s="446">
        <f t="shared" ref="F160:O160" si="28">IF(F45=0,0,F158/F45*100)</f>
        <v>3.8726943154324305</v>
      </c>
      <c r="G160" s="446">
        <f t="shared" si="28"/>
        <v>4.6735632561989817</v>
      </c>
      <c r="H160" s="446">
        <f t="shared" si="28"/>
        <v>7.7887840823581644</v>
      </c>
      <c r="I160" s="446">
        <f t="shared" si="28"/>
        <v>19.47577936373855</v>
      </c>
      <c r="J160" s="446">
        <f t="shared" si="28"/>
        <v>17.775704776664536</v>
      </c>
      <c r="K160" s="446">
        <f t="shared" si="28"/>
        <v>0</v>
      </c>
      <c r="L160" s="446">
        <f t="shared" si="28"/>
        <v>3.8026208921142777</v>
      </c>
      <c r="M160" s="446">
        <f t="shared" si="28"/>
        <v>4.5177739292291612</v>
      </c>
      <c r="N160" s="446">
        <f t="shared" si="28"/>
        <v>7.6701347808071167</v>
      </c>
      <c r="O160" s="446">
        <f t="shared" si="28"/>
        <v>19.458747980995078</v>
      </c>
      <c r="P160" s="25"/>
    </row>
    <row r="161" spans="1:15" ht="12.75" customHeight="1" thickTop="1" thickBot="1">
      <c r="A161" s="863"/>
      <c r="B161" s="231" t="s">
        <v>132</v>
      </c>
      <c r="C161" s="186" t="s">
        <v>133</v>
      </c>
      <c r="D161" s="443">
        <f>SUM(E161:I161)</f>
        <v>16490</v>
      </c>
      <c r="E161" s="251">
        <f>E151-E158</f>
        <v>0</v>
      </c>
      <c r="F161" s="448">
        <f>F151-F158</f>
        <v>0</v>
      </c>
      <c r="G161" s="448">
        <f>G151-G158</f>
        <v>0</v>
      </c>
      <c r="H161" s="448">
        <f>H151-H158</f>
        <v>0</v>
      </c>
      <c r="I161" s="448">
        <f>I151-I158</f>
        <v>16490</v>
      </c>
      <c r="J161" s="448">
        <f>SUM(K161:O161)</f>
        <v>82198.768000000098</v>
      </c>
      <c r="K161" s="448">
        <f>K151-K158</f>
        <v>0</v>
      </c>
      <c r="L161" s="448">
        <f>L151-L158</f>
        <v>0</v>
      </c>
      <c r="M161" s="448">
        <f>M151-M158</f>
        <v>-1.0913936421275139E-10</v>
      </c>
      <c r="N161" s="448">
        <f>N151-N158</f>
        <v>1.1641532182693481E-10</v>
      </c>
      <c r="O161" s="448">
        <f>O151-O158</f>
        <v>82198.768000000098</v>
      </c>
    </row>
    <row r="162" spans="1:15" ht="12.75" customHeight="1" thickTop="1" thickBot="1">
      <c r="A162" s="863"/>
      <c r="B162" s="231" t="s">
        <v>134</v>
      </c>
      <c r="C162" s="186" t="s">
        <v>135</v>
      </c>
      <c r="D162" s="347">
        <f>IF(D44=0,0,D161/D44*100)</f>
        <v>0.95906106235350908</v>
      </c>
      <c r="E162" s="347">
        <f t="shared" ref="E162:I162" si="29">IF(E44=0,0,E161/E44*100)</f>
        <v>0</v>
      </c>
      <c r="F162" s="347">
        <f t="shared" si="29"/>
        <v>0</v>
      </c>
      <c r="G162" s="347">
        <f t="shared" si="29"/>
        <v>0</v>
      </c>
      <c r="H162" s="347">
        <f t="shared" si="29"/>
        <v>0</v>
      </c>
      <c r="I162" s="347">
        <f t="shared" si="29"/>
        <v>2.2657012132287271</v>
      </c>
      <c r="J162" s="347">
        <f>IF(J44=0,0,J161/J44*100)</f>
        <v>5.028431929634154</v>
      </c>
      <c r="K162" s="347">
        <f>IF(K44=0,0,K161/K44*100)</f>
        <v>0</v>
      </c>
      <c r="L162" s="347">
        <f t="shared" ref="L162:O162" si="30">IF(L44=0,0,L161/L44*100)</f>
        <v>0</v>
      </c>
      <c r="M162" s="347">
        <f t="shared" si="30"/>
        <v>-2.3739656783526937E-14</v>
      </c>
      <c r="N162" s="347">
        <f t="shared" si="30"/>
        <v>9.5985110830879862E-15</v>
      </c>
      <c r="O162" s="347">
        <f t="shared" si="30"/>
        <v>11.485115916897504</v>
      </c>
    </row>
    <row r="163" spans="1:15" ht="12.75" customHeight="1" thickTop="1" thickBot="1">
      <c r="A163" s="863"/>
      <c r="B163" s="231" t="s">
        <v>136</v>
      </c>
      <c r="C163" s="186" t="s">
        <v>137</v>
      </c>
      <c r="D163" s="347">
        <f>IF(D45=0,0,D161/D45*100)</f>
        <v>0.95906106235350908</v>
      </c>
      <c r="E163" s="347">
        <f t="shared" ref="E163:O163" si="31">IF(E45=0,0,E161/E45*100)</f>
        <v>0</v>
      </c>
      <c r="F163" s="347">
        <f t="shared" si="31"/>
        <v>0</v>
      </c>
      <c r="G163" s="347">
        <f t="shared" si="31"/>
        <v>0</v>
      </c>
      <c r="H163" s="347">
        <f t="shared" si="31"/>
        <v>0</v>
      </c>
      <c r="I163" s="347">
        <f t="shared" si="31"/>
        <v>2.2849918300110188</v>
      </c>
      <c r="J163" s="347">
        <f t="shared" si="31"/>
        <v>5.028431929634154</v>
      </c>
      <c r="K163" s="347">
        <f t="shared" si="31"/>
        <v>0</v>
      </c>
      <c r="L163" s="347">
        <f t="shared" si="31"/>
        <v>0</v>
      </c>
      <c r="M163" s="347">
        <f t="shared" si="31"/>
        <v>-2.4539782283211383E-14</v>
      </c>
      <c r="N163" s="347">
        <f t="shared" si="31"/>
        <v>1.0593784205354329E-14</v>
      </c>
      <c r="O163" s="347">
        <f t="shared" si="31"/>
        <v>11.600727449336061</v>
      </c>
    </row>
    <row r="164" spans="1:15">
      <c r="A164" s="94" t="s">
        <v>210</v>
      </c>
      <c r="D164" s="95"/>
      <c r="E164" s="95"/>
      <c r="F164" s="95"/>
      <c r="G164" s="95"/>
      <c r="H164" s="95"/>
      <c r="I164" s="95"/>
      <c r="J164" s="348"/>
      <c r="K164" s="348"/>
      <c r="L164" s="348"/>
      <c r="M164" s="348"/>
      <c r="N164" s="348"/>
      <c r="O164" s="348"/>
    </row>
    <row r="165" spans="1:15" ht="12.75" thickBot="1">
      <c r="D165" s="95"/>
      <c r="E165" s="93"/>
      <c r="F165" s="342"/>
      <c r="G165" s="342"/>
      <c r="H165" s="342"/>
      <c r="I165" s="342"/>
      <c r="J165" s="348"/>
      <c r="K165" s="348"/>
      <c r="L165" s="342"/>
      <c r="M165" s="342"/>
      <c r="N165" s="342"/>
      <c r="O165" s="342"/>
    </row>
    <row r="166" spans="1:15" ht="12.75" customHeight="1" thickBot="1">
      <c r="B166" s="854" t="s">
        <v>138</v>
      </c>
      <c r="C166" s="855" t="s">
        <v>139</v>
      </c>
      <c r="D166" s="842" t="s">
        <v>140</v>
      </c>
      <c r="E166" s="843"/>
      <c r="F166" s="843"/>
      <c r="G166" s="843"/>
      <c r="H166" s="843"/>
      <c r="I166" s="844"/>
      <c r="J166" s="842" t="s">
        <v>140</v>
      </c>
      <c r="K166" s="843"/>
      <c r="L166" s="843"/>
      <c r="M166" s="843"/>
      <c r="N166" s="843"/>
      <c r="O166" s="844"/>
    </row>
    <row r="167" spans="1:15">
      <c r="B167" s="854"/>
      <c r="C167" s="855"/>
      <c r="D167" s="96" t="s">
        <v>141</v>
      </c>
      <c r="E167" s="97"/>
      <c r="F167" s="97" t="s">
        <v>5</v>
      </c>
      <c r="G167" s="98" t="s">
        <v>74</v>
      </c>
      <c r="H167" s="98" t="s">
        <v>76</v>
      </c>
      <c r="I167" s="99" t="s">
        <v>8</v>
      </c>
      <c r="J167" s="96" t="s">
        <v>141</v>
      </c>
      <c r="K167" s="97"/>
      <c r="L167" s="97" t="s">
        <v>5</v>
      </c>
      <c r="M167" s="98" t="s">
        <v>74</v>
      </c>
      <c r="N167" s="98" t="s">
        <v>76</v>
      </c>
      <c r="O167" s="99" t="s">
        <v>8</v>
      </c>
    </row>
    <row r="168" spans="1:15" s="83" customFormat="1" ht="12.75" thickBot="1">
      <c r="B168" s="100">
        <v>1</v>
      </c>
      <c r="C168" s="101">
        <v>2</v>
      </c>
      <c r="D168" s="102">
        <v>3</v>
      </c>
      <c r="E168" s="103">
        <v>4</v>
      </c>
      <c r="F168" s="103">
        <v>5</v>
      </c>
      <c r="G168" s="104">
        <v>6</v>
      </c>
      <c r="H168" s="104">
        <v>7</v>
      </c>
      <c r="I168" s="105">
        <v>8</v>
      </c>
      <c r="J168" s="102">
        <v>9</v>
      </c>
      <c r="K168" s="103">
        <v>10</v>
      </c>
      <c r="L168" s="103">
        <v>11</v>
      </c>
      <c r="M168" s="104">
        <v>12</v>
      </c>
      <c r="N168" s="104">
        <v>13</v>
      </c>
      <c r="O168" s="105">
        <v>14</v>
      </c>
    </row>
    <row r="169" spans="1:15" ht="12.75">
      <c r="B169" s="32" t="s">
        <v>10</v>
      </c>
      <c r="C169" s="33" t="s">
        <v>142</v>
      </c>
      <c r="D169" s="34">
        <f>D174+D175+D176</f>
        <v>1719390</v>
      </c>
      <c r="E169" s="35"/>
      <c r="F169" s="36">
        <f>F170+F174+F175+F176</f>
        <v>1285410</v>
      </c>
      <c r="G169" s="36">
        <f>G170+G174+G175+G176</f>
        <v>512266</v>
      </c>
      <c r="H169" s="36">
        <f>H170+H174+H175+H176</f>
        <v>1174170</v>
      </c>
      <c r="I169" s="37">
        <f>I170+I174+I175+I176</f>
        <v>727810</v>
      </c>
      <c r="J169" s="34">
        <f>J174+J175+J176</f>
        <v>1634679.9390000002</v>
      </c>
      <c r="K169" s="35"/>
      <c r="L169" s="36">
        <f>L170+L174+L175+L176</f>
        <v>1270651.1580000001</v>
      </c>
      <c r="M169" s="36">
        <f>M170+M174+M175+M176</f>
        <v>444744.63119999995</v>
      </c>
      <c r="N169" s="36">
        <f>N170+N174+N175+N176</f>
        <v>1101083.7726000003</v>
      </c>
      <c r="O169" s="37">
        <f>O170+O174+O175+O176</f>
        <v>715698.20100000012</v>
      </c>
    </row>
    <row r="170" spans="1:15" ht="12.75">
      <c r="B170" s="38" t="s">
        <v>12</v>
      </c>
      <c r="C170" s="39" t="s">
        <v>143</v>
      </c>
      <c r="D170" s="675">
        <f t="shared" ref="D170:D177" si="32">SUM(F170:I170)</f>
        <v>1980266</v>
      </c>
      <c r="E170" s="676"/>
      <c r="F170" s="676"/>
      <c r="G170" s="677">
        <f>SUM(G171:G173)</f>
        <v>250836</v>
      </c>
      <c r="H170" s="677">
        <f>SUM(H171:H173)</f>
        <v>1001500</v>
      </c>
      <c r="I170" s="678">
        <f>SUM(I171:I173)</f>
        <v>727930</v>
      </c>
      <c r="J170" s="675">
        <f t="shared" ref="J170:J177" si="33">SUM(L170:O170)</f>
        <v>1897497.8238000004</v>
      </c>
      <c r="K170" s="676"/>
      <c r="L170" s="676"/>
      <c r="M170" s="677">
        <f>SUM(M171:M173)</f>
        <v>241856.04219999997</v>
      </c>
      <c r="N170" s="677">
        <f>SUM(N171:N173)</f>
        <v>939852.90960000025</v>
      </c>
      <c r="O170" s="678">
        <f>SUM(O171:O173)</f>
        <v>715788.87200000009</v>
      </c>
    </row>
    <row r="171" spans="1:15" ht="12.75">
      <c r="B171" s="40" t="s">
        <v>144</v>
      </c>
      <c r="C171" s="41" t="s">
        <v>145</v>
      </c>
      <c r="D171" s="42">
        <f t="shared" si="32"/>
        <v>785790</v>
      </c>
      <c r="E171" s="43"/>
      <c r="F171" s="44"/>
      <c r="G171" s="45">
        <f>G31-G49-G61-G73-G85-G97-G78-G109-G121-G54-G66-G90-G102-G114-G126</f>
        <v>250836</v>
      </c>
      <c r="H171" s="45">
        <f>H31-H49-H61-H73-H85-H97-H78-H54-H109-H66-H90-H102-H114-H121-H126</f>
        <v>534954</v>
      </c>
      <c r="I171" s="46"/>
      <c r="J171" s="42">
        <f t="shared" si="33"/>
        <v>768039.82260000007</v>
      </c>
      <c r="K171" s="43"/>
      <c r="L171" s="44"/>
      <c r="M171" s="45">
        <f>M31-M49-M61-M73-M85-M97-M78-M109-M121-M54-M66-M90-M102-M114-M126</f>
        <v>241856.04219999997</v>
      </c>
      <c r="N171" s="45">
        <f>N31-N49-N61-N73-N85-N97-N78-N54-N109-N66-N90-N102-N114-N121-N126</f>
        <v>526183.78040000016</v>
      </c>
      <c r="O171" s="46"/>
    </row>
    <row r="172" spans="1:15" ht="12.75">
      <c r="B172" s="47" t="s">
        <v>146</v>
      </c>
      <c r="C172" s="48" t="s">
        <v>6</v>
      </c>
      <c r="D172" s="42">
        <f t="shared" si="32"/>
        <v>466546</v>
      </c>
      <c r="E172" s="43"/>
      <c r="F172" s="44"/>
      <c r="G172" s="49"/>
      <c r="H172" s="45">
        <f>H32-H50-H62-H74-H86-H98-H110-H55-H67-H79-H91-H103-H115-H122-H127</f>
        <v>466546</v>
      </c>
      <c r="I172" s="50">
        <f>I32-I50-I55-I62-I67-I74-I79-I86-I91-I98-I103-I110-I115-I122-I127</f>
        <v>0</v>
      </c>
      <c r="J172" s="42">
        <f t="shared" si="33"/>
        <v>413669.12920000008</v>
      </c>
      <c r="K172" s="43"/>
      <c r="L172" s="44"/>
      <c r="M172" s="49"/>
      <c r="N172" s="45">
        <f>N32-N50-N62-N74-N86-N98-N110-N55-N67-N79-N91-N103-N115-N122-N127</f>
        <v>413669.12920000008</v>
      </c>
      <c r="O172" s="50">
        <f>O32-O50-O55-O62-O67-O74-O79-O86-O91-O98-O103-O110-O115-O122-O127</f>
        <v>0</v>
      </c>
    </row>
    <row r="173" spans="1:15" ht="12.75">
      <c r="B173" s="51" t="s">
        <v>147</v>
      </c>
      <c r="C173" s="52" t="s">
        <v>7</v>
      </c>
      <c r="D173" s="53">
        <f t="shared" si="32"/>
        <v>727930</v>
      </c>
      <c r="E173" s="54"/>
      <c r="F173" s="55"/>
      <c r="G173" s="56"/>
      <c r="H173" s="56"/>
      <c r="I173" s="57">
        <f>I33-I51-I87-I75-I99-I111-I56-I63-I68-I80-I92-I104-I116-I123-I128</f>
        <v>727930</v>
      </c>
      <c r="J173" s="53">
        <f t="shared" si="33"/>
        <v>715788.87200000009</v>
      </c>
      <c r="K173" s="54"/>
      <c r="L173" s="55"/>
      <c r="M173" s="56"/>
      <c r="N173" s="56"/>
      <c r="O173" s="57">
        <f>O33-O51-O87-O75-O99-O111-O56-O63-O68-O80-O92-O104-O116-O123-O128</f>
        <v>715788.87200000009</v>
      </c>
    </row>
    <row r="174" spans="1:15" ht="12.75">
      <c r="B174" s="58" t="s">
        <v>14</v>
      </c>
      <c r="C174" s="39" t="s">
        <v>148</v>
      </c>
      <c r="D174" s="110">
        <f t="shared" si="32"/>
        <v>1063175</v>
      </c>
      <c r="E174" s="111"/>
      <c r="F174" s="111">
        <f>F28+E28</f>
        <v>871045</v>
      </c>
      <c r="G174" s="112">
        <f>G28</f>
        <v>176530</v>
      </c>
      <c r="H174" s="112">
        <f>H28</f>
        <v>15600</v>
      </c>
      <c r="I174" s="113">
        <f>I28</f>
        <v>0</v>
      </c>
      <c r="J174" s="110">
        <f t="shared" si="33"/>
        <v>1182409.2450000001</v>
      </c>
      <c r="K174" s="111"/>
      <c r="L174" s="111">
        <f>L28+K28</f>
        <v>1032608.765</v>
      </c>
      <c r="M174" s="112">
        <f>M28</f>
        <v>136027.41999999998</v>
      </c>
      <c r="N174" s="112">
        <f>N28</f>
        <v>13773.059999999998</v>
      </c>
      <c r="O174" s="113">
        <f>O28</f>
        <v>0</v>
      </c>
    </row>
    <row r="175" spans="1:15" ht="12.75">
      <c r="B175" s="59" t="s">
        <v>16</v>
      </c>
      <c r="C175" s="60" t="s">
        <v>149</v>
      </c>
      <c r="D175" s="123">
        <f t="shared" si="32"/>
        <v>645915</v>
      </c>
      <c r="E175" s="124"/>
      <c r="F175" s="125">
        <f>F23+F24+F25+E23+E24+E25</f>
        <v>414365</v>
      </c>
      <c r="G175" s="125">
        <f>G23+G24+G25</f>
        <v>74600</v>
      </c>
      <c r="H175" s="125">
        <f>H23+H24+H25</f>
        <v>157070</v>
      </c>
      <c r="I175" s="126">
        <f>I23+I24+I25</f>
        <v>-120</v>
      </c>
      <c r="J175" s="123">
        <f t="shared" si="33"/>
        <v>450494.89400000009</v>
      </c>
      <c r="K175" s="124"/>
      <c r="L175" s="125">
        <f>L23+L24+L25+K23+K24+K25</f>
        <v>238042.3930000001</v>
      </c>
      <c r="M175" s="125">
        <f>M23+M24+M25</f>
        <v>65085.369000000013</v>
      </c>
      <c r="N175" s="125">
        <f>N23+N24+N25</f>
        <v>147457.80299999999</v>
      </c>
      <c r="O175" s="126">
        <f>O23+O24+O25</f>
        <v>-90.671000000000021</v>
      </c>
    </row>
    <row r="176" spans="1:15" ht="13.5" thickBot="1">
      <c r="B176" s="61" t="s">
        <v>20</v>
      </c>
      <c r="C176" s="62" t="s">
        <v>150</v>
      </c>
      <c r="D176" s="129">
        <f t="shared" si="32"/>
        <v>10300</v>
      </c>
      <c r="E176" s="130"/>
      <c r="F176" s="131">
        <f>F29+E29</f>
        <v>0</v>
      </c>
      <c r="G176" s="131">
        <f>G29</f>
        <v>10300</v>
      </c>
      <c r="H176" s="131">
        <f>H29</f>
        <v>0</v>
      </c>
      <c r="I176" s="132">
        <f>I29</f>
        <v>0</v>
      </c>
      <c r="J176" s="129">
        <f t="shared" si="33"/>
        <v>1775.7999999999993</v>
      </c>
      <c r="K176" s="130"/>
      <c r="L176" s="131">
        <f>L29+K29</f>
        <v>0</v>
      </c>
      <c r="M176" s="131">
        <f>M29</f>
        <v>1775.7999999999993</v>
      </c>
      <c r="N176" s="131">
        <f>N29</f>
        <v>0</v>
      </c>
      <c r="O176" s="132">
        <f>O29</f>
        <v>0</v>
      </c>
    </row>
    <row r="177" spans="1:15" ht="12.75">
      <c r="B177" s="63" t="s">
        <v>26</v>
      </c>
      <c r="C177" s="33" t="s">
        <v>151</v>
      </c>
      <c r="D177" s="135">
        <f t="shared" si="32"/>
        <v>321569.99999999988</v>
      </c>
      <c r="E177" s="136"/>
      <c r="F177" s="136">
        <f>F169-F180-G171-H171</f>
        <v>49780</v>
      </c>
      <c r="G177" s="136">
        <f>G169-G180-H172-I172</f>
        <v>23870</v>
      </c>
      <c r="H177" s="136">
        <f>H169-H180-I173</f>
        <v>90880</v>
      </c>
      <c r="I177" s="137">
        <f>I169-I180</f>
        <v>157039.99999999988</v>
      </c>
      <c r="J177" s="135">
        <f t="shared" si="33"/>
        <v>372774.64799999993</v>
      </c>
      <c r="K177" s="136"/>
      <c r="L177" s="136">
        <f>L169-L180-M171-N171</f>
        <v>48318.046399999759</v>
      </c>
      <c r="M177" s="136">
        <f>M169-M180-N172-O172</f>
        <v>20092.556999999855</v>
      </c>
      <c r="N177" s="136">
        <f>N169-N180-O173</f>
        <v>84287.275600000168</v>
      </c>
      <c r="O177" s="137">
        <f>O169-O180</f>
        <v>220076.76900000015</v>
      </c>
    </row>
    <row r="178" spans="1:15" ht="13.5" thickBot="1">
      <c r="B178" s="64"/>
      <c r="C178" s="65" t="s">
        <v>152</v>
      </c>
      <c r="D178" s="441">
        <f>IF(D169=0,0,D177/D169*100)</f>
        <v>18.702563118315211</v>
      </c>
      <c r="E178" s="140"/>
      <c r="F178" s="441">
        <f t="shared" ref="F178:I178" si="34">IF(F169=0,0,F177/F169*100)</f>
        <v>3.8726943154324305</v>
      </c>
      <c r="G178" s="441">
        <f t="shared" si="34"/>
        <v>4.6596885211979719</v>
      </c>
      <c r="H178" s="441">
        <f t="shared" si="34"/>
        <v>7.7399354437602739</v>
      </c>
      <c r="I178" s="441">
        <f t="shared" si="34"/>
        <v>21.577059946964162</v>
      </c>
      <c r="J178" s="441">
        <f>IF(J169=0,0,J177/J169*100)</f>
        <v>22.804136706298682</v>
      </c>
      <c r="K178" s="140"/>
      <c r="L178" s="441">
        <f t="shared" ref="L178:O178" si="35">IF(L169=0,0,L177/L169*100)</f>
        <v>3.8026208921142586</v>
      </c>
      <c r="M178" s="441">
        <f t="shared" si="35"/>
        <v>4.5177739292291328</v>
      </c>
      <c r="N178" s="441">
        <f t="shared" si="35"/>
        <v>7.6549375894416976</v>
      </c>
      <c r="O178" s="441">
        <f t="shared" si="35"/>
        <v>30.749940225153662</v>
      </c>
    </row>
    <row r="179" spans="1:15" ht="26.25" thickBot="1">
      <c r="B179" s="66" t="s">
        <v>38</v>
      </c>
      <c r="C179" s="67" t="s">
        <v>153</v>
      </c>
      <c r="D179" s="143">
        <f t="shared" ref="D179:D180" si="36">SUM(F179:I179)</f>
        <v>0</v>
      </c>
      <c r="E179" s="144"/>
      <c r="F179" s="144"/>
      <c r="G179" s="145"/>
      <c r="H179" s="145"/>
      <c r="I179" s="146"/>
      <c r="J179" s="143">
        <f t="shared" ref="J179:J180" si="37">SUM(L179:O179)</f>
        <v>0</v>
      </c>
      <c r="K179" s="144"/>
      <c r="L179" s="144"/>
      <c r="M179" s="145"/>
      <c r="N179" s="145"/>
      <c r="O179" s="146"/>
    </row>
    <row r="180" spans="1:15" ht="13.5" thickBot="1">
      <c r="B180" s="68" t="s">
        <v>52</v>
      </c>
      <c r="C180" s="69" t="s">
        <v>154</v>
      </c>
      <c r="D180" s="143">
        <f t="shared" si="36"/>
        <v>1397820</v>
      </c>
      <c r="E180" s="144"/>
      <c r="F180" s="682">
        <f>F143+E143</f>
        <v>449840</v>
      </c>
      <c r="G180" s="682">
        <f>G143+G194</f>
        <v>21850</v>
      </c>
      <c r="H180" s="682">
        <f>H143+H194</f>
        <v>355360</v>
      </c>
      <c r="I180" s="683">
        <f>I143+I194</f>
        <v>570770.00000000012</v>
      </c>
      <c r="J180" s="143">
        <f t="shared" si="37"/>
        <v>1261905.291</v>
      </c>
      <c r="K180" s="144"/>
      <c r="L180" s="682">
        <f>L143+K143</f>
        <v>454293.28900000005</v>
      </c>
      <c r="M180" s="682">
        <f>M143+M194</f>
        <v>10982.945</v>
      </c>
      <c r="N180" s="682">
        <f>N143+N194</f>
        <v>301007.625</v>
      </c>
      <c r="O180" s="683">
        <f>O143+O194</f>
        <v>495621.43199999997</v>
      </c>
    </row>
    <row r="181" spans="1:15" ht="12.75">
      <c r="B181" s="70" t="s">
        <v>54</v>
      </c>
      <c r="C181" s="71" t="s">
        <v>155</v>
      </c>
      <c r="D181" s="151">
        <f t="shared" ref="D181:D184" si="38">SUM(F181:I181)</f>
        <v>0</v>
      </c>
      <c r="E181" s="152"/>
      <c r="F181" s="152"/>
      <c r="G181" s="153"/>
      <c r="H181" s="153"/>
      <c r="I181" s="154"/>
      <c r="J181" s="151">
        <f t="shared" ref="J181:J184" si="39">SUM(L181:O181)</f>
        <v>0</v>
      </c>
      <c r="K181" s="152"/>
      <c r="L181" s="152"/>
      <c r="M181" s="153"/>
      <c r="N181" s="153"/>
      <c r="O181" s="154"/>
    </row>
    <row r="182" spans="1:15" ht="12.75">
      <c r="B182" s="72" t="s">
        <v>156</v>
      </c>
      <c r="C182" s="73" t="s">
        <v>157</v>
      </c>
      <c r="D182" s="157">
        <f t="shared" si="38"/>
        <v>0</v>
      </c>
      <c r="E182" s="158"/>
      <c r="F182" s="159"/>
      <c r="G182" s="159"/>
      <c r="H182" s="159"/>
      <c r="I182" s="160"/>
      <c r="J182" s="157">
        <f t="shared" si="39"/>
        <v>0</v>
      </c>
      <c r="K182" s="158"/>
      <c r="L182" s="159"/>
      <c r="M182" s="159"/>
      <c r="N182" s="159"/>
      <c r="O182" s="160"/>
    </row>
    <row r="183" spans="1:15" ht="12.75">
      <c r="B183" s="74" t="s">
        <v>158</v>
      </c>
      <c r="C183" s="75" t="s">
        <v>159</v>
      </c>
      <c r="D183" s="163">
        <f t="shared" si="38"/>
        <v>0</v>
      </c>
      <c r="E183" s="164"/>
      <c r="F183" s="164"/>
      <c r="G183" s="165"/>
      <c r="H183" s="165"/>
      <c r="I183" s="166"/>
      <c r="J183" s="163">
        <f t="shared" si="39"/>
        <v>0</v>
      </c>
      <c r="K183" s="164"/>
      <c r="L183" s="164"/>
      <c r="M183" s="165"/>
      <c r="N183" s="165"/>
      <c r="O183" s="166"/>
    </row>
    <row r="184" spans="1:15" ht="12.75">
      <c r="B184" s="76" t="s">
        <v>56</v>
      </c>
      <c r="C184" s="77" t="s">
        <v>160</v>
      </c>
      <c r="D184" s="110">
        <f t="shared" si="38"/>
        <v>0</v>
      </c>
      <c r="E184" s="111"/>
      <c r="F184" s="111"/>
      <c r="G184" s="112"/>
      <c r="H184" s="112"/>
      <c r="I184" s="113"/>
      <c r="J184" s="110">
        <f t="shared" si="39"/>
        <v>0</v>
      </c>
      <c r="K184" s="111"/>
      <c r="L184" s="111"/>
      <c r="M184" s="112"/>
      <c r="N184" s="112"/>
      <c r="O184" s="113"/>
    </row>
    <row r="185" spans="1:15" ht="13.5" thickBot="1">
      <c r="B185" s="78" t="s">
        <v>58</v>
      </c>
      <c r="C185" s="79" t="s">
        <v>161</v>
      </c>
      <c r="D185" s="129">
        <f>SUM(F185:I185)</f>
        <v>0</v>
      </c>
      <c r="E185" s="130"/>
      <c r="F185" s="130"/>
      <c r="G185" s="131"/>
      <c r="H185" s="131"/>
      <c r="I185" s="132"/>
      <c r="J185" s="129">
        <f>SUM(L185:O185)</f>
        <v>0</v>
      </c>
      <c r="K185" s="130"/>
      <c r="L185" s="130"/>
      <c r="M185" s="131"/>
      <c r="N185" s="131"/>
      <c r="O185" s="132"/>
    </row>
    <row r="188" spans="1:15" ht="12.75" customHeight="1">
      <c r="A188" s="832" t="s">
        <v>211</v>
      </c>
      <c r="B188" s="832"/>
      <c r="C188" s="832"/>
      <c r="D188" s="832"/>
      <c r="E188" s="832"/>
      <c r="F188" s="832"/>
      <c r="G188" s="832"/>
      <c r="H188" s="832"/>
      <c r="I188" s="832"/>
      <c r="J188" s="832"/>
      <c r="K188" s="832"/>
      <c r="L188" s="832"/>
      <c r="M188" s="832"/>
      <c r="N188" s="832"/>
      <c r="O188" s="832"/>
    </row>
    <row r="189" spans="1:15" ht="12.75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ht="12.75">
      <c r="A190" s="171"/>
      <c r="B190" s="171"/>
      <c r="C190" s="171"/>
      <c r="D190" s="171"/>
      <c r="E190" s="171"/>
      <c r="F190" s="171"/>
      <c r="G190" s="171"/>
      <c r="H190" s="171"/>
      <c r="I190" s="171"/>
      <c r="J190" s="239"/>
      <c r="K190" s="171"/>
      <c r="L190" s="171"/>
      <c r="M190" s="171"/>
      <c r="N190" s="171"/>
      <c r="O190" s="171"/>
    </row>
    <row r="191" spans="1:15" ht="12.75">
      <c r="A191" s="460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4" spans="1:15">
      <c r="A194" s="523"/>
      <c r="B194" s="524"/>
      <c r="C194" s="523" t="s">
        <v>193</v>
      </c>
      <c r="D194" s="523"/>
      <c r="E194" s="523"/>
      <c r="F194" s="523"/>
      <c r="G194" s="525">
        <f>'4 месяца'!G194+май!G194</f>
        <v>1520.8</v>
      </c>
      <c r="H194" s="525">
        <f>'4 месяца'!H194+май!H194</f>
        <v>7364</v>
      </c>
      <c r="I194" s="525">
        <f>'4 месяца'!I194+май!I194</f>
        <v>6144.4</v>
      </c>
      <c r="J194" s="523"/>
      <c r="K194" s="523"/>
      <c r="L194" s="523"/>
      <c r="M194" s="525">
        <f>'4 месяца'!M194+май!M194</f>
        <v>0</v>
      </c>
      <c r="N194" s="525">
        <f>'4 месяца'!N194+май!N194</f>
        <v>2181.6279999999997</v>
      </c>
      <c r="O194" s="525">
        <f>'4 месяца'!O194+май!O194</f>
        <v>7132.567</v>
      </c>
    </row>
    <row r="195" spans="1:15">
      <c r="A195" s="523"/>
      <c r="B195" s="524"/>
      <c r="C195" s="523" t="s">
        <v>196</v>
      </c>
      <c r="D195" s="523"/>
      <c r="E195" s="523"/>
      <c r="F195" s="525">
        <f>'4 месяца'!F195+май!F195</f>
        <v>59911.934251841871</v>
      </c>
      <c r="G195" s="523"/>
      <c r="H195" s="523"/>
      <c r="I195" s="523"/>
      <c r="J195" s="523"/>
      <c r="K195" s="523"/>
      <c r="L195" s="525">
        <f>'4 месяца'!L195+май!L195</f>
        <v>51997.558259999998</v>
      </c>
      <c r="M195" s="523"/>
      <c r="N195" s="523"/>
      <c r="O195" s="523"/>
    </row>
    <row r="198" spans="1:15">
      <c r="F198" s="321"/>
      <c r="G198" s="321"/>
      <c r="H198" s="321"/>
      <c r="I198" s="321"/>
      <c r="L198" s="321"/>
      <c r="M198" s="321"/>
      <c r="N198" s="321"/>
      <c r="O198" s="321"/>
    </row>
  </sheetData>
  <mergeCells count="25">
    <mergeCell ref="A188:O188"/>
    <mergeCell ref="D166:I166"/>
    <mergeCell ref="J166:O166"/>
    <mergeCell ref="A46:A150"/>
    <mergeCell ref="A151:A163"/>
    <mergeCell ref="B166:B167"/>
    <mergeCell ref="C166:C167"/>
    <mergeCell ref="A6:A29"/>
    <mergeCell ref="A30:A43"/>
    <mergeCell ref="I4:I5"/>
    <mergeCell ref="J4:J5"/>
    <mergeCell ref="G4:G5"/>
    <mergeCell ref="H4:H5"/>
    <mergeCell ref="A1:O1"/>
    <mergeCell ref="A3:A5"/>
    <mergeCell ref="B3:B5"/>
    <mergeCell ref="C3:C5"/>
    <mergeCell ref="D3:I3"/>
    <mergeCell ref="J3:O3"/>
    <mergeCell ref="D4:D5"/>
    <mergeCell ref="E4:F4"/>
    <mergeCell ref="N4:N5"/>
    <mergeCell ref="O4:O5"/>
    <mergeCell ref="K4:L4"/>
    <mergeCell ref="M4:M5"/>
  </mergeCells>
  <phoneticPr fontId="0" type="noConversion"/>
  <pageMargins left="0.6692913385826772" right="0.27559055118110237" top="0.74803149606299213" bottom="0.55118110236220474" header="0.51181102362204722" footer="0.51181102362204722"/>
  <pageSetup paperSize="9" scale="64" firstPageNumber="0" orientation="landscape" horizontalDpi="300" verticalDpi="300" r:id="rId1"/>
  <headerFooter alignWithMargins="0"/>
  <rowBreaks count="2" manualBreakCount="2">
    <brk id="57" max="14" man="1"/>
    <brk id="1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23</vt:i4>
      </vt:variant>
    </vt:vector>
  </HeadingPairs>
  <TitlesOfParts>
    <vt:vector size="46" baseType="lpstr">
      <vt:lpstr>январь</vt:lpstr>
      <vt:lpstr>февраль</vt:lpstr>
      <vt:lpstr>2 месяца</vt:lpstr>
      <vt:lpstr>март</vt:lpstr>
      <vt:lpstr>1 квартал</vt:lpstr>
      <vt:lpstr>апрель</vt:lpstr>
      <vt:lpstr>4 месяца</vt:lpstr>
      <vt:lpstr>май</vt:lpstr>
      <vt:lpstr>5 месяцев</vt:lpstr>
      <vt:lpstr>июнь</vt:lpstr>
      <vt:lpstr>2 квартал</vt:lpstr>
      <vt:lpstr>6 месяцев</vt:lpstr>
      <vt:lpstr>июль</vt:lpstr>
      <vt:lpstr>7 месяцев</vt:lpstr>
      <vt:lpstr>август</vt:lpstr>
      <vt:lpstr>8 месяцев</vt:lpstr>
      <vt:lpstr>сентябрь</vt:lpstr>
      <vt:lpstr>3 квартал</vt:lpstr>
      <vt:lpstr>9 месяцев</vt:lpstr>
      <vt:lpstr>10 месяцев</vt:lpstr>
      <vt:lpstr>11 месяцев</vt:lpstr>
      <vt:lpstr>2 полугодие</vt:lpstr>
      <vt:lpstr>2014г</vt:lpstr>
      <vt:lpstr>'1 квартал'!Область_печати</vt:lpstr>
      <vt:lpstr>'10 месяцев'!Область_печати</vt:lpstr>
      <vt:lpstr>'11 месяцев'!Область_печати</vt:lpstr>
      <vt:lpstr>'2 квартал'!Область_печати</vt:lpstr>
      <vt:lpstr>'2 месяца'!Область_печати</vt:lpstr>
      <vt:lpstr>'2 полугодие'!Область_печати</vt:lpstr>
      <vt:lpstr>'2014г'!Область_печати</vt:lpstr>
      <vt:lpstr>'3 квартал'!Область_печати</vt:lpstr>
      <vt:lpstr>'4 месяца'!Область_печати</vt:lpstr>
      <vt:lpstr>'5 месяцев'!Область_печати</vt:lpstr>
      <vt:lpstr>'6 месяцев'!Область_печати</vt:lpstr>
      <vt:lpstr>'7 месяцев'!Область_печати</vt:lpstr>
      <vt:lpstr>'8 месяцев'!Область_печати</vt:lpstr>
      <vt:lpstr>'9 месяцев'!Область_печати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baryshovaka</cp:lastModifiedBy>
  <cp:lastPrinted>2015-02-25T12:55:07Z</cp:lastPrinted>
  <dcterms:created xsi:type="dcterms:W3CDTF">2007-04-03T06:47:07Z</dcterms:created>
  <dcterms:modified xsi:type="dcterms:W3CDTF">2015-02-25T13:07:07Z</dcterms:modified>
</cp:coreProperties>
</file>